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Ergebnisübersicht" sheetId="1" r:id="rId1"/>
    <sheet name="Basisdaten" sheetId="2" r:id="rId2"/>
    <sheet name="3.1. Erdöl" sheetId="3" r:id="rId3"/>
    <sheet name="3.2. Erdgas" sheetId="4" r:id="rId4"/>
    <sheet name="3.3. Kohle" sheetId="5" r:id="rId5"/>
    <sheet name="3.4. Biokraftstoffe 1. Gen." sheetId="6" r:id="rId6"/>
    <sheet name="3.5. Biokraftstoffe 2. Gen." sheetId="7" r:id="rId7"/>
    <sheet name="3.6. Kraftwerkstechnologien" sheetId="8" r:id="rId8"/>
    <sheet name="3.7. Photokatalyse" sheetId="9" r:id="rId9"/>
    <sheet name="3.8 Photovoltaik Anorg." sheetId="10" r:id="rId10"/>
    <sheet name="3.9. Solarthermie" sheetId="11" r:id="rId11"/>
    <sheet name="3.10. Thermoelektrika" sheetId="12" r:id="rId12"/>
    <sheet name="5.1. Brennstoffzellentechnik" sheetId="13" r:id="rId13"/>
    <sheet name="5.1 virtuelles Brennstoffzellen" sheetId="14" r:id="rId14"/>
    <sheet name="5.2. Leuchtdioden, Leuchtstoffe" sheetId="15" r:id="rId15"/>
    <sheet name="5.3. Supraleiter" sheetId="16" r:id="rId16"/>
    <sheet name="5.5. Leichtbauwerkstoffe" sheetId="17" r:id="rId17"/>
  </sheets>
  <externalReferences>
    <externalReference r:id="rId20"/>
  </externalReferences>
  <definedNames>
    <definedName name="_xlnm.Print_Area" localSheetId="3">'3.2. Erdgas'!$A$2:$J$75</definedName>
    <definedName name="_xlnm.Print_Area" localSheetId="1">'Basisdaten'!$A$3:$E$31</definedName>
    <definedName name="_xlnm.Print_Area" localSheetId="0">'Ergebnisübersicht'!$A$1:$Q$38</definedName>
  </definedNames>
  <calcPr fullCalcOnLoad="1"/>
</workbook>
</file>

<file path=xl/sharedStrings.xml><?xml version="1.0" encoding="utf-8"?>
<sst xmlns="http://schemas.openxmlformats.org/spreadsheetml/2006/main" count="781" uniqueCount="438">
  <si>
    <t>Ergebnisübersicht</t>
  </si>
  <si>
    <t>Kraftstoffe aus Erdgas</t>
  </si>
  <si>
    <t>Basis Erdgas aus unkonventionellen Vorkommen</t>
  </si>
  <si>
    <t xml:space="preserve">Basis eines realistisch zur Verfügung stehenden Investitionsvolumens </t>
  </si>
  <si>
    <t>Kraftstoffe aus Kohle</t>
  </si>
  <si>
    <t>DEUTSCHLAND in 2030</t>
  </si>
  <si>
    <t>Anteil am PEV [%]</t>
  </si>
  <si>
    <t>Anteil am 
Kraftstoffverbrauch [%]</t>
  </si>
  <si>
    <t>Anteil am PEV
[%]</t>
  </si>
  <si>
    <t>Biokraftstoffe der 1. Generation</t>
  </si>
  <si>
    <t>Biodiesel auf Basis Raps</t>
  </si>
  <si>
    <t>Bioethanol auf Basis Weizen</t>
  </si>
  <si>
    <t>Biogas auf Basis Maissilage</t>
  </si>
  <si>
    <t>Biomass to Liquids (BTL)</t>
  </si>
  <si>
    <t>Biokraftstoffe der 2. Generation</t>
  </si>
  <si>
    <t>Photovoltaik</t>
  </si>
  <si>
    <t>Anteil am
Stromverbrauch
[%]</t>
  </si>
  <si>
    <t>anorganische Systeme</t>
  </si>
  <si>
    <t>Thermoelektrika</t>
  </si>
  <si>
    <t>über Treibstoffersparnis</t>
  </si>
  <si>
    <t>über Anzahl der Fahrzeuge in 2030</t>
  </si>
  <si>
    <t>Solarthermie</t>
  </si>
  <si>
    <t>Kraftwerkstechnologien</t>
  </si>
  <si>
    <t>Herstellung von Wasserstoff - Photokatalyse</t>
  </si>
  <si>
    <t>Stoffliche Energiespeicherung</t>
  </si>
  <si>
    <t>Elektrochemische Energiespeicherung - LIB</t>
  </si>
  <si>
    <t>Brennstoffzellentechnik</t>
  </si>
  <si>
    <t>Kraftstoffe aus Erdöl</t>
  </si>
  <si>
    <t>Leuchtdioden und Leuchtstoffe</t>
  </si>
  <si>
    <t>Supraleiter</t>
  </si>
  <si>
    <t xml:space="preserve">Schaumstoffe </t>
  </si>
  <si>
    <t>Leichtbauwerkstoffe</t>
  </si>
  <si>
    <t>Anteil am
Wärmeverbrauch
[%]</t>
  </si>
  <si>
    <t>Elektrochemische Stromspeicherung
im zukünftigen Energieverbund</t>
  </si>
  <si>
    <t>Energiebereitstellung</t>
  </si>
  <si>
    <t>Energiespeicherung</t>
  </si>
  <si>
    <t>Effiziente Energienutzung</t>
  </si>
  <si>
    <t>Einsparung PEV
[%]</t>
  </si>
  <si>
    <t>Einsparung Stromverbrauch
[%]</t>
  </si>
  <si>
    <t>Weltweit in 2030</t>
  </si>
  <si>
    <t>keine quantitative Abschätzung</t>
  </si>
  <si>
    <t>Einsparung
Kraftstoffverbrauch [%]</t>
  </si>
  <si>
    <t>Anteil am 
Kraftstoffverbrauch
[%]</t>
  </si>
  <si>
    <t>Häufig verwendete Basisdaten</t>
  </si>
  <si>
    <t>Kategorie</t>
  </si>
  <si>
    <t>Jahr</t>
  </si>
  <si>
    <t>Wert</t>
  </si>
  <si>
    <t>Dimension</t>
  </si>
  <si>
    <t>Quelle</t>
  </si>
  <si>
    <t>Primärenergieverbrauch D</t>
  </si>
  <si>
    <t>EJ/a</t>
  </si>
  <si>
    <t>AG Energiebilanzen Stand 11/2007</t>
  </si>
  <si>
    <t>Primärenergie für Strom D</t>
  </si>
  <si>
    <t>Endenergieverbrauch D</t>
  </si>
  <si>
    <t>Stromverbrauch D</t>
  </si>
  <si>
    <t>TWh/a</t>
  </si>
  <si>
    <t>=</t>
  </si>
  <si>
    <t>mittl. Wirkungsgrad KW in D</t>
  </si>
  <si>
    <t>berechnet</t>
  </si>
  <si>
    <t>Kraftstoffverbrauch Verkehr D</t>
  </si>
  <si>
    <t>Mio t RÖE</t>
  </si>
  <si>
    <t>Wärmeverbrauch D</t>
  </si>
  <si>
    <t>mittlere Solareinstrahlung D</t>
  </si>
  <si>
    <t>Solarbusiness.de</t>
  </si>
  <si>
    <t>Fläche Deutschland</t>
  </si>
  <si>
    <t>Statistisches Bundesamt</t>
  </si>
  <si>
    <t>Gebäude- und Freifläche</t>
  </si>
  <si>
    <t>Verkehrsfläche</t>
  </si>
  <si>
    <t>Landwirtschaftsfläche</t>
  </si>
  <si>
    <t>Weltprimärenergieverbrauch</t>
  </si>
  <si>
    <t>BP Statistical Review of World Energy 2007</t>
  </si>
  <si>
    <t>Weltstromverbrauch</t>
  </si>
  <si>
    <t>PWh/a</t>
  </si>
  <si>
    <t>CIA World Factbook 2007</t>
  </si>
  <si>
    <t>Weltkraftstoffverbrauch</t>
  </si>
  <si>
    <t>BP Global Energy Survey</t>
  </si>
  <si>
    <t>Erdoberfläche</t>
  </si>
  <si>
    <t>Brockhaus</t>
  </si>
  <si>
    <t>Festland</t>
  </si>
  <si>
    <t>Ackerland</t>
  </si>
  <si>
    <t>Food and Agriculture Organization der UN</t>
  </si>
  <si>
    <t>Weideland</t>
  </si>
  <si>
    <t>Waldfläche</t>
  </si>
  <si>
    <t>Brennwert Wasserstoff</t>
  </si>
  <si>
    <t>Ausgangszahlen</t>
  </si>
  <si>
    <t>Erdgas, Jahresförderung 2006</t>
  </si>
  <si>
    <t xml:space="preserve">Gm³/a </t>
  </si>
  <si>
    <t>(Studie BGR 2006)</t>
  </si>
  <si>
    <t xml:space="preserve">    </t>
  </si>
  <si>
    <t xml:space="preserve">Jährlicher Anstieg der Erdgasförderung </t>
  </si>
  <si>
    <t>ca. 2</t>
  </si>
  <si>
    <t>%</t>
  </si>
  <si>
    <t>(IEA 2006)</t>
  </si>
  <si>
    <t>Voraussichtliche Jahresförderung Erdgas in 2030</t>
  </si>
  <si>
    <t xml:space="preserve">Nutzbarer Erdgasanteil der Jahresförderung für Synthesekraftstoff </t>
  </si>
  <si>
    <t>(Annahme f. jährliche Zunahme)</t>
  </si>
  <si>
    <t>ca. 0,5</t>
  </si>
  <si>
    <t>Anteil der Jahresförderung Erdgas abgefackelt, ventiliert etc.</t>
  </si>
  <si>
    <t>(Jean Laherrere 2004/Cedigaz)</t>
  </si>
  <si>
    <t>nutzbar (Annahme)</t>
  </si>
  <si>
    <t>Reserven “stranded gas”</t>
  </si>
  <si>
    <t>Gm³</t>
  </si>
  <si>
    <t>(IEA 2001)</t>
  </si>
  <si>
    <t>EJ</t>
  </si>
  <si>
    <t>von</t>
  </si>
  <si>
    <t>bis</t>
  </si>
  <si>
    <t>Ressourcen Gashydrate</t>
  </si>
  <si>
    <t>Tm³</t>
  </si>
  <si>
    <t>(BGR 2008)</t>
  </si>
  <si>
    <t>Konversionsfaktor</t>
  </si>
  <si>
    <t>Mio t Diesel pro Gm³</t>
  </si>
  <si>
    <t>(Produktionszahl Anlage Quatar)</t>
  </si>
  <si>
    <t>EJ Diesel pro EJ Gas</t>
  </si>
  <si>
    <t>Ergebnis</t>
  </si>
  <si>
    <t xml:space="preserve">(Annahme: Quellen an "stranded gas" könnten 25% </t>
  </si>
  <si>
    <t>der gegenwärtigen Erdgasförderung liefern)</t>
  </si>
  <si>
    <t>der gegenwärtigen Erdgasförderung liefern</t>
  </si>
  <si>
    <t>Gesamtmenge nutzbares Erdgas</t>
  </si>
  <si>
    <t>Gesamtmenge Kraftstoff aus Erdgas in 2030</t>
  </si>
  <si>
    <t xml:space="preserve">2)   Ermittlung auf der Basis eines realistisch zur Verfügung stehenden Investitionsvolumens </t>
  </si>
  <si>
    <t>Kosten für eine Anlage mit 1 Mio t/a Synthesekraftstoff</t>
  </si>
  <si>
    <t>(Abschätzung)</t>
  </si>
  <si>
    <t>Mrd €</t>
  </si>
  <si>
    <t>Jährliche Investitionen in Erdgaserschließung und Nutzung</t>
  </si>
  <si>
    <t xml:space="preserve">Jährlicher Anteil an den Gesamtinvestitionen </t>
  </si>
  <si>
    <t>verfügbar für Investitionen in FT-Anlagen</t>
  </si>
  <si>
    <t>Laufzeit Investitionsprogramm (bis 2030)</t>
  </si>
  <si>
    <t>Jahre</t>
  </si>
  <si>
    <t>Investitionsvolumen (20 Jahre)</t>
  </si>
  <si>
    <t>Produktionskapazität Kraftstoff aus Erdgas in 2030</t>
  </si>
  <si>
    <t>Mio t/a</t>
  </si>
  <si>
    <r>
      <t>kWh/m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</t>
    </r>
  </si>
  <si>
    <r>
      <t>km</t>
    </r>
    <r>
      <rPr>
        <vertAlign val="superscript"/>
        <sz val="11"/>
        <rFont val="Arial"/>
        <family val="2"/>
      </rPr>
      <t>2</t>
    </r>
  </si>
  <si>
    <r>
      <t>Mio km</t>
    </r>
    <r>
      <rPr>
        <vertAlign val="superscript"/>
        <sz val="11"/>
        <rFont val="Arial"/>
        <family val="2"/>
      </rPr>
      <t>2</t>
    </r>
  </si>
  <si>
    <r>
      <t>kWh kg</t>
    </r>
    <r>
      <rPr>
        <vertAlign val="superscript"/>
        <sz val="10"/>
        <rFont val="Arial"/>
        <family val="2"/>
      </rPr>
      <t>-1</t>
    </r>
  </si>
  <si>
    <r>
      <t xml:space="preserve">(IEA 2003 1,5 Bill. $ bis 2030 für Erdöl </t>
    </r>
    <r>
      <rPr>
        <u val="single"/>
        <sz val="11"/>
        <rFont val="Arial"/>
        <family val="2"/>
      </rPr>
      <t>und</t>
    </r>
    <r>
      <rPr>
        <sz val="11"/>
        <rFont val="Arial"/>
        <family val="2"/>
      </rPr>
      <t xml:space="preserve"> Erdgas)</t>
    </r>
  </si>
  <si>
    <t>ca. 10</t>
  </si>
  <si>
    <t>Anteile nutzbares Erdgas in 2030 für Kraftstoff</t>
  </si>
  <si>
    <t>aus Erdgas "klassischen" Quellen</t>
  </si>
  <si>
    <t>aus Erdgas abgefackelt</t>
  </si>
  <si>
    <t>aus Reserven "stranded gas"</t>
  </si>
  <si>
    <t>aus Ressourcen Gashydrate</t>
  </si>
  <si>
    <t xml:space="preserve">(Annahme: höchstens 1% der heutigen Erdgasproduktion </t>
  </si>
  <si>
    <t>jährlicher Zuwachs der Kohleförderung bis 2030</t>
  </si>
  <si>
    <t>(Prognose IEA: 2500 Mio. t SKE/a)</t>
  </si>
  <si>
    <t>Verfügbar für Kraftstoffsynthese (Schätzung)</t>
  </si>
  <si>
    <t>Energetische Konversionseffizienz Kohle zu Kraftstoff</t>
  </si>
  <si>
    <t>(nach Angaben Sasol)</t>
  </si>
  <si>
    <t>Kosten für eine FT-Anlage mit 1 Mio. t Jahreskapazität
 (Abschätzung nach Lurgi)</t>
  </si>
  <si>
    <t xml:space="preserve"> Mrd. €</t>
  </si>
  <si>
    <t>Jährliche weltweite Investitionen in Erdöl-verarbeitende
Raffinerien (Abschätzung DGMK auf Basis von 
Angaben für die nächsten 3 Jahre)</t>
  </si>
  <si>
    <t xml:space="preserve"> Mrd. €/a</t>
  </si>
  <si>
    <t>Davon für Investitionen in FT-Anlagen (Annahme)</t>
  </si>
  <si>
    <t>Laufzeit eines Investitionsprogramms (bis 2030)</t>
  </si>
  <si>
    <t>Investitionsvolumen</t>
  </si>
  <si>
    <t>(über 20 Jahre)</t>
  </si>
  <si>
    <t>Produktionskapazität (in 2030)</t>
  </si>
  <si>
    <t>(70 Mio. t/a)</t>
  </si>
  <si>
    <t>Basis eines realistischen Anteils an der zusätzlichen Kohleförderung (weltweit!)</t>
  </si>
  <si>
    <t>Basis eines realistisch zur Verfügung stehenden Investitionsvolumens</t>
  </si>
  <si>
    <t>ha</t>
  </si>
  <si>
    <t>Bruttoerträge (aus DECHEMA-Studie 2006)</t>
  </si>
  <si>
    <t>GJ/ha*a</t>
  </si>
  <si>
    <t>Gesamtbruttoerträge</t>
  </si>
  <si>
    <t>GJ/a</t>
  </si>
  <si>
    <t>Nettoerträge (aus IFEU-Gutachten)</t>
  </si>
  <si>
    <t>GJ/(ha*a)</t>
  </si>
  <si>
    <t>Gesamtnettoerträge</t>
  </si>
  <si>
    <t>Potentieller Anteil bezogen auf PEV in D</t>
  </si>
  <si>
    <t>Potentieller Anteil bezogen auf Kraftstoffverbrauch in D</t>
  </si>
  <si>
    <r>
      <t xml:space="preserve">In D zur Verfügung stehende Anbaufläche
</t>
    </r>
    <r>
      <rPr>
        <sz val="12"/>
        <rFont val="Arial"/>
        <family val="2"/>
      </rPr>
      <t>(unter Berücksichtigung einer Reihe von Nachhaltigkeitskriterien)</t>
    </r>
  </si>
  <si>
    <t>Biomass to Liquids</t>
  </si>
  <si>
    <t>Energieinhalt Biomasse</t>
  </si>
  <si>
    <t>PJ/a</t>
  </si>
  <si>
    <t>MW</t>
  </si>
  <si>
    <t>Verluste bei der Pyrolyse</t>
  </si>
  <si>
    <t>Verluste bei der Vergasung</t>
  </si>
  <si>
    <t>Verluste bei FT-Prozess</t>
  </si>
  <si>
    <t>Energieinhalt des erzeugten Kraftstoffs</t>
  </si>
  <si>
    <t>Energieaufwand für Biomassebereitstellung (5 % des erzeugten Kraftstoffs für das dezentrale FZK-Konzept)</t>
  </si>
  <si>
    <t>Energieinhalt des erzeugten Kraftstoffs (Produktionskette von Acker /Wald bis Kraftstoff ab Werk)</t>
  </si>
  <si>
    <t>Konversionseffizienz</t>
  </si>
  <si>
    <t>Waldrestholz inkl. Schwachholz</t>
  </si>
  <si>
    <t>Mio. t*Ts/a</t>
  </si>
  <si>
    <t>Altholz</t>
  </si>
  <si>
    <t>Sägenebenprodukte</t>
  </si>
  <si>
    <t xml:space="preserve">   Holz insgesamt</t>
  </si>
  <si>
    <t>Getreidestroh</t>
  </si>
  <si>
    <t>Nutzbare Masse Holz</t>
  </si>
  <si>
    <t>Nutzbare Masse Stroh</t>
  </si>
  <si>
    <t>Heizwert Holz (gelagert)</t>
  </si>
  <si>
    <t>kJ/g</t>
  </si>
  <si>
    <t>Heizwert Stroh</t>
  </si>
  <si>
    <t>Energieinhalt der nutzbaren Masse Holz</t>
  </si>
  <si>
    <t>Energieinhalt der nutzbaren Masse Stroh</t>
  </si>
  <si>
    <t>Energieinhalt der nutzbaren Gesamt-Biomasse</t>
  </si>
  <si>
    <t>Energieinhalt des produzierten BTL-Kraftstoffs bei der aus der Tabelle 1 entnommenen Konversionseffizienz von 0,316</t>
  </si>
  <si>
    <t>Anteil des produzierten BTL-Kraftstoffs am Gesamtkraftstoffverbrauch in D</t>
  </si>
  <si>
    <t>Anteil des produzierten BTL-Kraftstoffs am PEV in D</t>
  </si>
  <si>
    <t>In D zur Verfügung stehende Anbaufläche
(unter Berücksichtigung einer Reihe von Nachhaltigkeitskriterien)</t>
  </si>
  <si>
    <t>Heizwert Pappel</t>
  </si>
  <si>
    <t>GJ/t</t>
  </si>
  <si>
    <t>Menge Holz pro Anbaufläche</t>
  </si>
  <si>
    <t>t/(ha*a)</t>
  </si>
  <si>
    <t>Bruttoertrag Pappel Kurzumtriebsplantage</t>
  </si>
  <si>
    <t>GJ/ha</t>
  </si>
  <si>
    <t>Gesamtbruttoertrag</t>
  </si>
  <si>
    <t>Nettoertrag Pappel Kurzumtriebsplantage
(aus IFEU-Gutachten)</t>
  </si>
  <si>
    <t>Gesamtnettoertrag</t>
  </si>
  <si>
    <t>Potentieller Anteil bezogen auf PEV</t>
  </si>
  <si>
    <t>Potentieller Anteil bezogen auf Kraftstoffverbrauch</t>
  </si>
  <si>
    <t>Aus Gründen der Vergleichbarkeit mit der Potentialabschätzung bei den Biokraftstoffen der
1. Generation wird der Fall der Kurzumtriebsplantage betrachtet.</t>
  </si>
  <si>
    <t>Deutschland</t>
  </si>
  <si>
    <t>Effizienz des Gesamtprozesses</t>
  </si>
  <si>
    <t>Sonneneinstrahlung</t>
  </si>
  <si>
    <t>Minimale Anlagengröße</t>
  </si>
  <si>
    <t>Energieausbeute</t>
  </si>
  <si>
    <t>Benötigte Anlagenfläche</t>
  </si>
  <si>
    <t>Maximales Potential</t>
  </si>
  <si>
    <t>Anteil am PEV in D</t>
  </si>
  <si>
    <t>Welt</t>
  </si>
  <si>
    <t>Sonneneinstrahlung Sahara</t>
  </si>
  <si>
    <t>Flächenbedarf zur Deckung des Weltenergiebedarfs</t>
  </si>
  <si>
    <r>
      <t>kWh m</t>
    </r>
    <r>
      <rPr>
        <vertAlign val="superscript"/>
        <sz val="12"/>
        <rFont val="Arial"/>
        <family val="2"/>
      </rPr>
      <t>-2</t>
    </r>
    <r>
      <rPr>
        <sz val="12"/>
        <rFont val="Arial"/>
        <family val="2"/>
      </rPr>
      <t xml:space="preserve"> a</t>
    </r>
    <r>
      <rPr>
        <vertAlign val="superscript"/>
        <sz val="12"/>
        <rFont val="Arial"/>
        <family val="2"/>
      </rPr>
      <t>-1</t>
    </r>
  </si>
  <si>
    <r>
      <t>t a</t>
    </r>
    <r>
      <rPr>
        <vertAlign val="superscript"/>
        <sz val="12"/>
        <rFont val="Arial"/>
        <family val="2"/>
      </rPr>
      <t>-1</t>
    </r>
  </si>
  <si>
    <r>
      <t>km</t>
    </r>
    <r>
      <rPr>
        <vertAlign val="superscript"/>
        <sz val="12"/>
        <rFont val="Arial"/>
        <family val="2"/>
      </rPr>
      <t>2</t>
    </r>
  </si>
  <si>
    <r>
      <t>EJ a</t>
    </r>
    <r>
      <rPr>
        <vertAlign val="superscript"/>
        <sz val="12"/>
        <rFont val="Arial"/>
        <family val="2"/>
      </rPr>
      <t>-1</t>
    </r>
  </si>
  <si>
    <t>Installierte Fläche</t>
  </si>
  <si>
    <t>Mittlere jährliche Wärmeleistung</t>
  </si>
  <si>
    <t>Solarwärmeerzeugung</t>
  </si>
  <si>
    <t>PJ</t>
  </si>
  <si>
    <t>Anteil am Gesamtwärmeverbrauch in D</t>
  </si>
  <si>
    <t>Treibstoffersparnis</t>
  </si>
  <si>
    <t>Energieeinsparung</t>
  </si>
  <si>
    <t>Anteil am PEV D</t>
  </si>
  <si>
    <t>Fahrzeugbestand in D in 2030</t>
  </si>
  <si>
    <t>Mio</t>
  </si>
  <si>
    <t>mittlere Konversion</t>
  </si>
  <si>
    <t>kWh</t>
  </si>
  <si>
    <t>Betriebstunden</t>
  </si>
  <si>
    <t>h/a</t>
  </si>
  <si>
    <t>Kraftwerksgeneratoren</t>
  </si>
  <si>
    <t>produzierter Strom</t>
  </si>
  <si>
    <t>Anteil am Strom-Verbrauch D</t>
  </si>
  <si>
    <t>geschätzte Modulfläche in 2030</t>
  </si>
  <si>
    <t>installierte Modulfläche in 2010</t>
  </si>
  <si>
    <t>geschätzter Wirkungsgrad 2030</t>
  </si>
  <si>
    <t>Wirkungsgrad 2010</t>
  </si>
  <si>
    <t>zusätzliches Potential durch Innovationen (in 2030)</t>
  </si>
  <si>
    <t>Annahmen</t>
  </si>
  <si>
    <t>Kraftwerkszuwachs (2005 bis 2030)</t>
  </si>
  <si>
    <t>GW</t>
  </si>
  <si>
    <t>Wirkungsgradsteigerung</t>
  </si>
  <si>
    <t>Innovationen werden ab 2015 eingesetzt</t>
  </si>
  <si>
    <t>Ergebnisse</t>
  </si>
  <si>
    <t>Leistungssteigerung der Kraftwerke in 2030</t>
  </si>
  <si>
    <t>Zuwachs an Anlagenfläche</t>
  </si>
  <si>
    <t>Mittlere Effizienzsteigerung</t>
  </si>
  <si>
    <t>Mt/a</t>
  </si>
  <si>
    <t>Steigerung des Entölungsgrades von bekannten Lagerstätten bis 2030</t>
  </si>
  <si>
    <t>Nutzung von nicht konventionellen Ölen in 2030</t>
  </si>
  <si>
    <t>Anteil Erdöl für Nutzung als Kraftstoff</t>
  </si>
  <si>
    <t>Anteil gefördertes Erdöl, das von Innovationen in der Chemischen Technik abhängig ist</t>
  </si>
  <si>
    <t>Kraftstoffanteil</t>
  </si>
  <si>
    <t>Energieinhalt dieses Kraftstoffanteils</t>
  </si>
  <si>
    <t>Anteil am weltweiten PEV</t>
  </si>
  <si>
    <t>Kraftstoffersparnis bei einer Gewichtsreduktion von 100 kg</t>
  </si>
  <si>
    <t>l/100 km</t>
  </si>
  <si>
    <t>Jahresfahrleistung aller 52,1 Mio KFZ in Deutschland</t>
  </si>
  <si>
    <t>Mrd. km</t>
  </si>
  <si>
    <t>Heizwert Benzin</t>
  </si>
  <si>
    <t>kWh/l</t>
  </si>
  <si>
    <t>Gesamtkraftstoffeinsparung pro Jahr</t>
  </si>
  <si>
    <t>Mrd. l</t>
  </si>
  <si>
    <t>Energieinhalt dieses eingesparten Kraftstoffs</t>
  </si>
  <si>
    <t xml:space="preserve">von </t>
  </si>
  <si>
    <t>Supraleiter in Kraftwerksgeneratoren</t>
  </si>
  <si>
    <t>Wirkungsgraderhöhung durch Supraleiter</t>
  </si>
  <si>
    <t>TWh</t>
  </si>
  <si>
    <t>Erhöhung Stromerzeugung</t>
  </si>
  <si>
    <t>Erzeugte Energie aus grundlastfähigem Strom
in 2008 in Deutschland</t>
  </si>
  <si>
    <t>Anteil Stromverbrauch Deutschlands für Beleuchtung in 2006</t>
  </si>
  <si>
    <t>Einsparpotential durch Leuchtdioden</t>
  </si>
  <si>
    <t>Abschätzung für Deutschland</t>
  </si>
  <si>
    <t>Abschätzung weltweit</t>
  </si>
  <si>
    <t>Energieanteil für Beleuchtung</t>
  </si>
  <si>
    <t>Einsparung am Stromverbrauch in D</t>
  </si>
  <si>
    <t>Einsparung am weltweiten Stromverbrauch</t>
  </si>
  <si>
    <t>Einsparung am weltweiten Primärenergieverbrauch</t>
  </si>
  <si>
    <t>Anteil des weltweiten Stromverbrauchs für Beleuchtung in 2006</t>
  </si>
  <si>
    <t>Virtuelles Brennstoffzellenkraftwerk</t>
  </si>
  <si>
    <t>virtuelles Brennstoffzellenkraftwerk</t>
  </si>
  <si>
    <t>Erzeugte Nutzenergie</t>
  </si>
  <si>
    <t>(EFH)</t>
  </si>
  <si>
    <r>
      <t>12 TWh</t>
    </r>
    <r>
      <rPr>
        <vertAlign val="subscript"/>
        <sz val="11"/>
        <rFont val="Arial"/>
        <family val="2"/>
      </rPr>
      <t>el</t>
    </r>
  </si>
  <si>
    <r>
      <t>23,2 TWh</t>
    </r>
    <r>
      <rPr>
        <vertAlign val="subscript"/>
        <sz val="11"/>
        <rFont val="Arial"/>
        <family val="2"/>
      </rPr>
      <t>th</t>
    </r>
  </si>
  <si>
    <t>(MFH)</t>
  </si>
  <si>
    <r>
      <t>9,2 TWh</t>
    </r>
    <r>
      <rPr>
        <vertAlign val="subscript"/>
        <sz val="11"/>
        <rFont val="Arial"/>
        <family val="2"/>
      </rPr>
      <t>el</t>
    </r>
  </si>
  <si>
    <r>
      <t>14 TWh</t>
    </r>
    <r>
      <rPr>
        <vertAlign val="subscript"/>
        <sz val="11"/>
        <rFont val="Arial"/>
        <family val="2"/>
      </rPr>
      <t>th</t>
    </r>
  </si>
  <si>
    <t>Nutzenergie (gesamt)</t>
  </si>
  <si>
    <r>
      <t>58,4 TWh</t>
    </r>
    <r>
      <rPr>
        <vertAlign val="subscript"/>
        <sz val="11"/>
        <rFont val="Arial"/>
        <family val="2"/>
      </rPr>
      <t>Nutz</t>
    </r>
  </si>
  <si>
    <t>PE-Aufwand</t>
  </si>
  <si>
    <t>68,7 TWh</t>
  </si>
  <si>
    <t>Referenzsystem</t>
  </si>
  <si>
    <t>Kraftwerks-Mix 2010</t>
  </si>
  <si>
    <t>Wirkungsgrad</t>
  </si>
  <si>
    <r>
      <t>η</t>
    </r>
    <r>
      <rPr>
        <vertAlign val="subscript"/>
        <sz val="11"/>
        <rFont val="Arial"/>
        <family val="2"/>
      </rPr>
      <t>el</t>
    </r>
    <r>
      <rPr>
        <sz val="11"/>
        <rFont val="Arial"/>
        <family val="2"/>
      </rPr>
      <t xml:space="preserve"> = 40,1 %</t>
    </r>
  </si>
  <si>
    <t>Kraftwerks-Mix 2030</t>
  </si>
  <si>
    <r>
      <t>η</t>
    </r>
    <r>
      <rPr>
        <vertAlign val="subscript"/>
        <sz val="11"/>
        <rFont val="Arial"/>
        <family val="2"/>
      </rPr>
      <t>el</t>
    </r>
    <r>
      <rPr>
        <sz val="11"/>
        <rFont val="Arial"/>
        <family val="2"/>
      </rPr>
      <t xml:space="preserve"> = 50 %</t>
    </r>
  </si>
  <si>
    <t>Wärme-Mix</t>
  </si>
  <si>
    <r>
      <t>η</t>
    </r>
    <r>
      <rPr>
        <vertAlign val="subscript"/>
        <sz val="11"/>
        <rFont val="Arial"/>
        <family val="2"/>
      </rPr>
      <t>th</t>
    </r>
    <r>
      <rPr>
        <sz val="11"/>
        <rFont val="Arial"/>
        <family val="2"/>
      </rPr>
      <t xml:space="preserve"> = 90 %</t>
    </r>
  </si>
  <si>
    <t>PE-Aufwand 2010</t>
  </si>
  <si>
    <t>Äquivalente Strommenge</t>
  </si>
  <si>
    <t>52,9 TWh</t>
  </si>
  <si>
    <t>PE-Aufwand 2030</t>
  </si>
  <si>
    <t>42,4 TWh</t>
  </si>
  <si>
    <t>PE-Aufwand 2010/2030</t>
  </si>
  <si>
    <t>Aquivalente Wärmemenge</t>
  </si>
  <si>
    <t>41,3 TWh</t>
  </si>
  <si>
    <t>Äquivalente Nutzenergie</t>
  </si>
  <si>
    <t>94,2 TWh</t>
  </si>
  <si>
    <t>83,7 TWh</t>
  </si>
  <si>
    <t>Stationäre Brennstoffzellensysteme in der Hausenergieversorgung</t>
  </si>
  <si>
    <t>Stationäre Brennstoffzellen-BHKW in Industrie und Gewerbe</t>
  </si>
  <si>
    <t>BZ-BHKW</t>
  </si>
  <si>
    <t>(1 Modul)</t>
  </si>
  <si>
    <r>
      <t>5 TWh</t>
    </r>
    <r>
      <rPr>
        <vertAlign val="subscript"/>
        <sz val="11"/>
        <rFont val="Arial"/>
        <family val="2"/>
      </rPr>
      <t>el</t>
    </r>
  </si>
  <si>
    <r>
      <t>4,2 TWh</t>
    </r>
    <r>
      <rPr>
        <vertAlign val="subscript"/>
        <sz val="11"/>
        <rFont val="Arial"/>
        <family val="2"/>
      </rPr>
      <t>th</t>
    </r>
  </si>
  <si>
    <t>(4 Module)</t>
  </si>
  <si>
    <r>
      <t>11,4 TWh</t>
    </r>
    <r>
      <rPr>
        <vertAlign val="subscript"/>
        <sz val="11"/>
        <rFont val="Arial"/>
        <family val="2"/>
      </rPr>
      <t>el</t>
    </r>
  </si>
  <si>
    <r>
      <t>9,5 TWh</t>
    </r>
    <r>
      <rPr>
        <vertAlign val="subscript"/>
        <sz val="11"/>
        <rFont val="Arial"/>
        <family val="2"/>
      </rPr>
      <t>th</t>
    </r>
  </si>
  <si>
    <r>
      <t>30,1 TWh</t>
    </r>
    <r>
      <rPr>
        <vertAlign val="subscript"/>
        <sz val="11"/>
        <rFont val="Arial"/>
        <family val="2"/>
      </rPr>
      <t>Nutz</t>
    </r>
  </si>
  <si>
    <t>35,4 TWh</t>
  </si>
  <si>
    <t xml:space="preserve">Wärme-Mix </t>
  </si>
  <si>
    <t>40,9 TWh</t>
  </si>
  <si>
    <t>32,8 TWh</t>
  </si>
  <si>
    <t>Äquivalente Wärmemenge</t>
  </si>
  <si>
    <t>15,2 TWh</t>
  </si>
  <si>
    <t>56,1 TWh</t>
  </si>
  <si>
    <t>48 TWh</t>
  </si>
  <si>
    <t>Gesamte Menge eingesparter Primärenergieaufwand</t>
  </si>
  <si>
    <t xml:space="preserve"> TWh</t>
  </si>
  <si>
    <t>Versorgung privater Haushalte und gewerblicher Betriebe</t>
  </si>
  <si>
    <t>Annahmen für den Wasserstoffbetrieb</t>
  </si>
  <si>
    <t xml:space="preserve">BZ-Heizgeräte (EFH) </t>
  </si>
  <si>
    <t>Wasserstoffbetrieb</t>
  </si>
  <si>
    <t>Anzahl 2030</t>
  </si>
  <si>
    <t>2 Mio. Anlagen</t>
  </si>
  <si>
    <t>Leistung</t>
  </si>
  <si>
    <r>
      <t>1,5 kW</t>
    </r>
    <r>
      <rPr>
        <vertAlign val="subscript"/>
        <sz val="11"/>
        <rFont val="Arial"/>
        <family val="2"/>
      </rPr>
      <t xml:space="preserve">el </t>
    </r>
    <r>
      <rPr>
        <sz val="11"/>
        <rFont val="Arial"/>
        <family val="2"/>
      </rPr>
      <t>und 1,3 kW</t>
    </r>
    <r>
      <rPr>
        <vertAlign val="subscript"/>
        <sz val="11"/>
        <rFont val="Arial"/>
        <family val="2"/>
      </rPr>
      <t>th</t>
    </r>
  </si>
  <si>
    <t>Wirkungsgrad elektrisch, Volllast (EFH)</t>
  </si>
  <si>
    <t>Wirkungsgrad thermisch, Volllast (EFH)</t>
  </si>
  <si>
    <t>Wirkungsgrad elektrisch, Teillast 50 % (EFH)</t>
  </si>
  <si>
    <t>Wirkungsgrad thermisch, Teillast 50 % (EFH)</t>
  </si>
  <si>
    <t>BZ-Heizgeräte (MFH)</t>
  </si>
  <si>
    <t>0,5 Mio. Anlagen</t>
  </si>
  <si>
    <r>
      <t>4,6 kW</t>
    </r>
    <r>
      <rPr>
        <vertAlign val="subscript"/>
        <sz val="11"/>
        <rFont val="Arial"/>
        <family val="2"/>
      </rPr>
      <t xml:space="preserve">el </t>
    </r>
    <r>
      <rPr>
        <sz val="11"/>
        <rFont val="Arial"/>
        <family val="2"/>
      </rPr>
      <t>und 3,22 kW</t>
    </r>
    <r>
      <rPr>
        <vertAlign val="subscript"/>
        <sz val="11"/>
        <rFont val="Arial"/>
        <family val="2"/>
      </rPr>
      <t>th</t>
    </r>
  </si>
  <si>
    <t>Wirkungsgrad elektrisch, Volllast (MFH)</t>
  </si>
  <si>
    <t>Wirkungsgrad thermisch, Volllast (MFH)</t>
  </si>
  <si>
    <t>Wirkungsgrad elektrisch, Teillast 50 % (MFH)</t>
  </si>
  <si>
    <t>Wirkungsgrad thermisch, Teillast 50 % (MFH)</t>
  </si>
  <si>
    <t>Gesamtnutzungsgrad</t>
  </si>
  <si>
    <t>Betriebsstunden bei Volllast</t>
  </si>
  <si>
    <t>2.000 h/a</t>
  </si>
  <si>
    <t>Betriebsstunden bei Teillast 50 %</t>
  </si>
  <si>
    <t>6.000 h/a</t>
  </si>
  <si>
    <t>Installierte Leistung in 2030</t>
  </si>
  <si>
    <r>
      <t>Ca. 5,3 GW</t>
    </r>
    <r>
      <rPr>
        <vertAlign val="subscript"/>
        <sz val="11"/>
        <rFont val="Arial"/>
        <family val="2"/>
      </rPr>
      <t>el</t>
    </r>
    <r>
      <rPr>
        <sz val="11"/>
        <rFont val="Arial"/>
        <family val="2"/>
      </rPr>
      <t xml:space="preserve"> und 
ca. 4,21 GW</t>
    </r>
    <r>
      <rPr>
        <vertAlign val="subscript"/>
        <sz val="11"/>
        <rFont val="Arial"/>
        <family val="2"/>
      </rPr>
      <t>th</t>
    </r>
  </si>
  <si>
    <t>Abschätzung für den Wasserstoffbetrieb</t>
  </si>
  <si>
    <t>Stationäre Brennstoffzellensysteme in der</t>
  </si>
  <si>
    <t>Hausenergieversorgung</t>
  </si>
  <si>
    <r>
      <t>16,92 TWh</t>
    </r>
    <r>
      <rPr>
        <vertAlign val="subscript"/>
        <sz val="11"/>
        <rFont val="Arial"/>
        <family val="2"/>
      </rPr>
      <t>el</t>
    </r>
  </si>
  <si>
    <r>
      <t>11,2 TWh</t>
    </r>
    <r>
      <rPr>
        <vertAlign val="subscript"/>
        <sz val="11"/>
        <rFont val="Arial"/>
        <family val="2"/>
      </rPr>
      <t>th</t>
    </r>
  </si>
  <si>
    <r>
      <t>12,88 TWh</t>
    </r>
    <r>
      <rPr>
        <vertAlign val="subscript"/>
        <sz val="11"/>
        <rFont val="Arial"/>
        <family val="2"/>
      </rPr>
      <t>el</t>
    </r>
  </si>
  <si>
    <r>
      <t>6,67 TWh</t>
    </r>
    <r>
      <rPr>
        <vertAlign val="subscript"/>
        <sz val="11"/>
        <rFont val="Arial"/>
        <family val="2"/>
      </rPr>
      <t>th</t>
    </r>
  </si>
  <si>
    <r>
      <t>47,67 TWh</t>
    </r>
    <r>
      <rPr>
        <vertAlign val="subscript"/>
        <sz val="11"/>
        <rFont val="Arial"/>
        <family val="2"/>
      </rPr>
      <t>Nutz</t>
    </r>
  </si>
  <si>
    <t>56,08 TWh</t>
  </si>
  <si>
    <r>
      <t>Spezifische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-Emission </t>
    </r>
  </si>
  <si>
    <t xml:space="preserve">Entfallen </t>
  </si>
  <si>
    <r>
      <t>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-Emission (gesamt)</t>
    </r>
  </si>
  <si>
    <t>Entfallen</t>
  </si>
  <si>
    <t>Für äquivalente Strommenge</t>
  </si>
  <si>
    <t>74,3 TWh</t>
  </si>
  <si>
    <t>59,6 TWh</t>
  </si>
  <si>
    <t>19,85 TWh</t>
  </si>
  <si>
    <t>94,15 TWh</t>
  </si>
  <si>
    <t>79,45 TWh</t>
  </si>
  <si>
    <r>
      <t>Spezifische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-Emission des Kraftwerk-Mixes</t>
    </r>
  </si>
  <si>
    <r>
      <t>590 g/kWh</t>
    </r>
    <r>
      <rPr>
        <vertAlign val="subscript"/>
        <sz val="11"/>
        <rFont val="Arial"/>
        <family val="2"/>
      </rPr>
      <t>el</t>
    </r>
  </si>
  <si>
    <t>2030 [EON2008]</t>
  </si>
  <si>
    <r>
      <t>305 g/kWh</t>
    </r>
    <r>
      <rPr>
        <vertAlign val="subscript"/>
        <sz val="11"/>
        <rFont val="Arial"/>
        <family val="2"/>
      </rPr>
      <t>el</t>
    </r>
  </si>
  <si>
    <r>
      <t>Spezifische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-Emission des Wärme-Mixes</t>
    </r>
  </si>
  <si>
    <t>2010/2030</t>
  </si>
  <si>
    <t>[StatBu2006]</t>
  </si>
  <si>
    <r>
      <t>261 g/kWh</t>
    </r>
    <r>
      <rPr>
        <vertAlign val="subscript"/>
        <sz val="11"/>
        <rFont val="Arial"/>
        <family val="2"/>
      </rPr>
      <t>Nutz</t>
    </r>
  </si>
  <si>
    <t>22,24 Mio. t</t>
  </si>
  <si>
    <t>13,75 Mio. t</t>
  </si>
  <si>
    <t>Potential</t>
  </si>
  <si>
    <t>Einsparpotential</t>
  </si>
  <si>
    <r>
      <t>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-Emission</t>
    </r>
  </si>
  <si>
    <t>Primärenergie</t>
  </si>
  <si>
    <t>Energieversorgung der Zukunft - der Beitrag der Chemie: Eine quantitative Potentialanalyse</t>
  </si>
  <si>
    <t>1)   Ermittlung auf der Basis Erdgas aus unkonventionellen Vorkommen</t>
  </si>
  <si>
    <t>Anteil Kraftstoff aus Erdgas
am weltweiten Kraftstoffverbrauch</t>
  </si>
  <si>
    <t>Anteil Kraftstoff aus Erdgas
am weltweiten PEV</t>
  </si>
  <si>
    <t>Anteil Kraftstoff aus Erdöl
am weltweiten Kraftstoffverbrauch</t>
  </si>
  <si>
    <t>Anteil Kraftstoff aus Erdöl
am weltweiten PEV</t>
  </si>
  <si>
    <t>3.1. Kraftstoffe aus Erdöl</t>
  </si>
  <si>
    <t>3.2. Kraftstoffe aus Erdgas</t>
  </si>
  <si>
    <t>3.3. Kraftstoffe aus Kohle</t>
  </si>
  <si>
    <r>
      <t xml:space="preserve">1.) Ermittlung auf der Basis eines realistischen Anteils
an der </t>
    </r>
    <r>
      <rPr>
        <b/>
        <u val="single"/>
        <sz val="12"/>
        <rFont val="Arial"/>
        <family val="2"/>
      </rPr>
      <t>zusätzlichen</t>
    </r>
    <r>
      <rPr>
        <b/>
        <sz val="12"/>
        <rFont val="Arial"/>
        <family val="2"/>
      </rPr>
      <t xml:space="preserve"> Kohleförderung (weltweit!)</t>
    </r>
  </si>
  <si>
    <t>2.) Ermittlung auf der Basis eines realistisch
zur Verfügung stehenden Investitionsvolumens</t>
  </si>
  <si>
    <t>Anteil Kraftstoff aus Kohle</t>
  </si>
  <si>
    <t>am weltweiten Kraftstoffverbrauch</t>
  </si>
  <si>
    <t>am weltweiten PEV</t>
  </si>
  <si>
    <t>3.4. Biokraftstoffe der 1. Generation</t>
  </si>
  <si>
    <t>3.5. Biokraftstoffe der 2. Generation</t>
  </si>
  <si>
    <t xml:space="preserve">Ethanol aus Lignocellulose </t>
  </si>
  <si>
    <t>3.6. Weiterentwicklung von Kraftwerkstechnologien</t>
  </si>
  <si>
    <t>3.8. Photovoltaik - anorganische Systeme</t>
  </si>
  <si>
    <r>
      <t>kWh/m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a</t>
    </r>
  </si>
  <si>
    <t>3.9. Solarthermie</t>
  </si>
  <si>
    <r>
      <t>Mio. m</t>
    </r>
    <r>
      <rPr>
        <vertAlign val="superscript"/>
        <sz val="12"/>
        <rFont val="Arial"/>
        <family val="2"/>
      </rPr>
      <t>2</t>
    </r>
  </si>
  <si>
    <r>
      <t>kWh/m</t>
    </r>
    <r>
      <rPr>
        <vertAlign val="superscript"/>
        <sz val="12"/>
        <rFont val="Arial"/>
        <family val="2"/>
      </rPr>
      <t>2</t>
    </r>
  </si>
  <si>
    <t>3.10. Thermoelektrika</t>
  </si>
  <si>
    <t>3.7. Herstellung von Wasserstoff - Photokatalyse</t>
  </si>
  <si>
    <t>Berechnung</t>
  </si>
  <si>
    <t>5.1. Brennstoffzellentechnik</t>
  </si>
  <si>
    <t>Primärenergie zur Versorgung privater Haushalte</t>
  </si>
  <si>
    <t>Anteil am PEV Deutschlands</t>
  </si>
  <si>
    <t>Primärenergie zur Versorgung gewerblicher Betriebe</t>
  </si>
  <si>
    <t xml:space="preserve"> TWh </t>
  </si>
  <si>
    <t xml:space="preserve"> Mio. t</t>
  </si>
  <si>
    <t>5.5. Leichtbauwerkstoffe</t>
  </si>
  <si>
    <t>Einsparung Kraftstoffverbrauch in D</t>
  </si>
  <si>
    <t>Einsparung am Primärenergieverbrauch in D</t>
  </si>
  <si>
    <t>5.3. Supraleiter</t>
  </si>
  <si>
    <t>5.2. Leuchtdioden und Leuchtstoffe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</si>
</sst>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#,##0.000"/>
    <numFmt numFmtId="170" formatCode="#,##0.0"/>
    <numFmt numFmtId="171" formatCode="0.0%"/>
    <numFmt numFmtId="172" formatCode="0.000"/>
    <numFmt numFmtId="173" formatCode="0.00&quot; €/kWh&quot;"/>
    <numFmt numFmtId="174" formatCode="0.00&quot; Mrd €&quot;"/>
    <numFmt numFmtId="175" formatCode="0&quot; PJ&quot;"/>
    <numFmt numFmtId="176" formatCode="0.00&quot; €/l&quot;"/>
    <numFmt numFmtId="177" formatCode="0&quot; Mio €&quot;"/>
    <numFmt numFmtId="178" formatCode="0.0&quot; Mio t&quot;"/>
    <numFmt numFmtId="179" formatCode="0.0&quot; kg&quot;"/>
    <numFmt numFmtId="180" formatCode="0&quot; MJ/kg&quot;"/>
    <numFmt numFmtId="181" formatCode="0&quot; MJ&quot;"/>
    <numFmt numFmtId="182" formatCode="0.000&quot; MWh&quot;"/>
    <numFmt numFmtId="183" formatCode="0.00&quot; €/kg&quot;"/>
    <numFmt numFmtId="184" formatCode="0.00&quot; kgCO2/l&quot;"/>
    <numFmt numFmtId="185" formatCode="0.00&quot; €/MJ&quot;"/>
    <numFmt numFmtId="186" formatCode="0&quot; €/MWh&quot;"/>
    <numFmt numFmtId="187" formatCode="0.00&quot; €/Nm³&quot;"/>
    <numFmt numFmtId="188" formatCode="0.000&quot; €/kWh&quot;"/>
    <numFmt numFmtId="189" formatCode="0.00&quot; kg/kWh&quot;"/>
    <numFmt numFmtId="190" formatCode="0.0\ &quot;MJ/kWh&quot;"/>
    <numFmt numFmtId="191" formatCode="0&quot; MJ/a&quot;"/>
    <numFmt numFmtId="192" formatCode="0&quot; t/a&quot;"/>
    <numFmt numFmtId="193" formatCode="0.0&quot; Mio t/a&quot;"/>
    <numFmt numFmtId="194" formatCode="0&quot; km²&quot;"/>
    <numFmt numFmtId="195" formatCode="0.00000&quot; km²&quot;"/>
    <numFmt numFmtId="196" formatCode="0.00&quot; km²&quot;"/>
    <numFmt numFmtId="197" formatCode="0&quot; kg/t&quot;"/>
    <numFmt numFmtId="198" formatCode="0&quot; GJ/t&quot;"/>
    <numFmt numFmtId="199" formatCode="0&quot; Mio t&quot;"/>
    <numFmt numFmtId="200" formatCode="0.0&quot; Mrd Nm³&quot;"/>
    <numFmt numFmtId="201" formatCode="0.00&quot; PJ&quot;"/>
    <numFmt numFmtId="202" formatCode="0.0&quot; TWh/a&quot;"/>
    <numFmt numFmtId="203" formatCode="0&quot; €/barrel&quot;"/>
    <numFmt numFmtId="204" formatCode="_-* #,##0\ &quot;€&quot;_-;\-* #,##0\ &quot;€&quot;_-;_-* &quot;-&quot;??\ &quot;€&quot;_-;_-@_-"/>
    <numFmt numFmtId="205" formatCode="0.0E+00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sz val="14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0"/>
      <name val="Arial"/>
      <family val="2"/>
    </font>
    <font>
      <u val="single"/>
      <sz val="11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vertAlign val="subscript"/>
      <sz val="11"/>
      <name val="Arial"/>
      <family val="2"/>
    </font>
    <font>
      <sz val="11"/>
      <name val="Symbol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169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right"/>
    </xf>
    <xf numFmtId="170" fontId="7" fillId="0" borderId="1" xfId="0" applyNumberFormat="1" applyFont="1" applyBorder="1" applyAlignment="1">
      <alignment/>
    </xf>
    <xf numFmtId="171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8" fontId="7" fillId="0" borderId="0" xfId="0" applyNumberFormat="1" applyFont="1" applyAlignment="1">
      <alignment/>
    </xf>
    <xf numFmtId="170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 horizontal="left"/>
    </xf>
    <xf numFmtId="170" fontId="9" fillId="0" borderId="0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/>
    </xf>
    <xf numFmtId="168" fontId="7" fillId="0" borderId="0" xfId="0" applyNumberFormat="1" applyFont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168" fontId="12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170" fontId="9" fillId="0" borderId="0" xfId="0" applyNumberFormat="1" applyFont="1" applyAlignment="1">
      <alignment horizontal="right"/>
    </xf>
    <xf numFmtId="168" fontId="9" fillId="0" borderId="0" xfId="0" applyNumberFormat="1" applyFont="1" applyAlignment="1">
      <alignment horizontal="right"/>
    </xf>
    <xf numFmtId="168" fontId="9" fillId="0" borderId="0" xfId="0" applyNumberFormat="1" applyFont="1" applyBorder="1" applyAlignment="1">
      <alignment horizontal="left"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8" fillId="0" borderId="0" xfId="0" applyFont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8" fontId="14" fillId="0" borderId="0" xfId="0" applyNumberFormat="1" applyFont="1" applyAlignment="1">
      <alignment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9" fontId="14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10" fontId="14" fillId="0" borderId="0" xfId="0" applyNumberFormat="1" applyFont="1" applyAlignment="1">
      <alignment/>
    </xf>
    <xf numFmtId="0" fontId="8" fillId="0" borderId="0" xfId="0" applyFont="1" applyAlignment="1">
      <alignment horizontal="left" indent="2"/>
    </xf>
    <xf numFmtId="1" fontId="14" fillId="0" borderId="0" xfId="0" applyNumberFormat="1" applyFont="1" applyAlignment="1">
      <alignment/>
    </xf>
    <xf numFmtId="0" fontId="14" fillId="0" borderId="0" xfId="0" applyFont="1" applyAlignment="1">
      <alignment horizontal="left" indent="7"/>
    </xf>
    <xf numFmtId="0" fontId="1" fillId="0" borderId="0" xfId="0" applyFont="1" applyAlignment="1">
      <alignment horizontal="left" indent="15"/>
    </xf>
    <xf numFmtId="168" fontId="0" fillId="0" borderId="1" xfId="0" applyNumberFormat="1" applyBorder="1" applyAlignment="1">
      <alignment horizontal="center"/>
    </xf>
    <xf numFmtId="0" fontId="14" fillId="0" borderId="1" xfId="0" applyFont="1" applyBorder="1" applyAlignment="1">
      <alignment wrapText="1"/>
    </xf>
    <xf numFmtId="205" fontId="14" fillId="0" borderId="1" xfId="0" applyNumberFormat="1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14" fillId="0" borderId="1" xfId="0" applyFont="1" applyBorder="1" applyAlignment="1">
      <alignment/>
    </xf>
    <xf numFmtId="205" fontId="14" fillId="0" borderId="1" xfId="0" applyNumberFormat="1" applyFont="1" applyBorder="1" applyAlignment="1">
      <alignment/>
    </xf>
    <xf numFmtId="0" fontId="14" fillId="0" borderId="1" xfId="0" applyFont="1" applyBorder="1" applyAlignment="1">
      <alignment horizontal="right"/>
    </xf>
    <xf numFmtId="168" fontId="14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NumberFormat="1" applyFont="1" applyAlignment="1">
      <alignment/>
    </xf>
    <xf numFmtId="0" fontId="14" fillId="0" borderId="1" xfId="0" applyFont="1" applyBorder="1" applyAlignment="1">
      <alignment horizontal="left" wrapText="1"/>
    </xf>
    <xf numFmtId="2" fontId="14" fillId="0" borderId="1" xfId="0" applyNumberFormat="1" applyFont="1" applyBorder="1" applyAlignment="1">
      <alignment/>
    </xf>
    <xf numFmtId="172" fontId="14" fillId="0" borderId="1" xfId="0" applyNumberFormat="1" applyFont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 horizontal="left" indent="3"/>
    </xf>
    <xf numFmtId="1" fontId="14" fillId="0" borderId="1" xfId="0" applyNumberFormat="1" applyFont="1" applyBorder="1" applyAlignment="1">
      <alignment/>
    </xf>
    <xf numFmtId="0" fontId="14" fillId="0" borderId="1" xfId="0" applyNumberFormat="1" applyFont="1" applyBorder="1" applyAlignment="1">
      <alignment/>
    </xf>
    <xf numFmtId="0" fontId="14" fillId="0" borderId="0" xfId="0" applyFont="1" applyBorder="1" applyAlignment="1">
      <alignment wrapText="1"/>
    </xf>
    <xf numFmtId="205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8" fillId="0" borderId="1" xfId="0" applyFont="1" applyBorder="1" applyAlignment="1">
      <alignment wrapText="1"/>
    </xf>
    <xf numFmtId="0" fontId="14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191" fontId="14" fillId="0" borderId="0" xfId="0" applyNumberFormat="1" applyFont="1" applyBorder="1" applyAlignment="1">
      <alignment/>
    </xf>
    <xf numFmtId="180" fontId="14" fillId="0" borderId="0" xfId="0" applyNumberFormat="1" applyFont="1" applyBorder="1" applyAlignment="1">
      <alignment/>
    </xf>
    <xf numFmtId="9" fontId="14" fillId="0" borderId="0" xfId="0" applyNumberFormat="1" applyFont="1" applyBorder="1" applyAlignment="1">
      <alignment/>
    </xf>
    <xf numFmtId="0" fontId="14" fillId="0" borderId="1" xfId="0" applyFont="1" applyBorder="1" applyAlignment="1">
      <alignment/>
    </xf>
    <xf numFmtId="3" fontId="14" fillId="0" borderId="1" xfId="0" applyNumberFormat="1" applyFont="1" applyBorder="1" applyAlignment="1">
      <alignment/>
    </xf>
    <xf numFmtId="9" fontId="14" fillId="0" borderId="1" xfId="0" applyNumberFormat="1" applyFont="1" applyBorder="1" applyAlignment="1">
      <alignment/>
    </xf>
    <xf numFmtId="0" fontId="14" fillId="0" borderId="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9" fontId="14" fillId="0" borderId="0" xfId="0" applyNumberFormat="1" applyFont="1" applyBorder="1" applyAlignment="1">
      <alignment/>
    </xf>
    <xf numFmtId="4" fontId="14" fillId="0" borderId="1" xfId="0" applyNumberFormat="1" applyFont="1" applyBorder="1" applyAlignment="1">
      <alignment/>
    </xf>
    <xf numFmtId="192" fontId="14" fillId="0" borderId="1" xfId="0" applyNumberFormat="1" applyFont="1" applyBorder="1" applyAlignment="1">
      <alignment/>
    </xf>
    <xf numFmtId="193" fontId="14" fillId="0" borderId="0" xfId="0" applyNumberFormat="1" applyFont="1" applyBorder="1" applyAlignment="1">
      <alignment/>
    </xf>
    <xf numFmtId="172" fontId="14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192" fontId="14" fillId="0" borderId="0" xfId="0" applyNumberFormat="1" applyFont="1" applyBorder="1" applyAlignment="1">
      <alignment/>
    </xf>
    <xf numFmtId="171" fontId="14" fillId="0" borderId="0" xfId="0" applyNumberFormat="1" applyFont="1" applyBorder="1" applyAlignment="1">
      <alignment/>
    </xf>
    <xf numFmtId="194" fontId="14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9" fontId="16" fillId="0" borderId="0" xfId="20" applyFont="1" applyBorder="1" applyAlignment="1">
      <alignment/>
    </xf>
    <xf numFmtId="0" fontId="17" fillId="0" borderId="0" xfId="0" applyFont="1" applyBorder="1" applyAlignment="1">
      <alignment/>
    </xf>
    <xf numFmtId="197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2" fontId="14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4" fillId="0" borderId="0" xfId="20" applyNumberFormat="1" applyFont="1" applyBorder="1" applyAlignment="1">
      <alignment/>
    </xf>
    <xf numFmtId="198" fontId="18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195" fontId="14" fillId="0" borderId="0" xfId="0" applyNumberFormat="1" applyFont="1" applyBorder="1" applyAlignment="1">
      <alignment/>
    </xf>
    <xf numFmtId="196" fontId="14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9" fontId="18" fillId="0" borderId="0" xfId="20" applyFont="1" applyBorder="1" applyAlignment="1">
      <alignment/>
    </xf>
    <xf numFmtId="171" fontId="17" fillId="0" borderId="0" xfId="20" applyNumberFormat="1" applyFont="1" applyBorder="1" applyAlignment="1">
      <alignment/>
    </xf>
    <xf numFmtId="3" fontId="14" fillId="0" borderId="0" xfId="0" applyNumberFormat="1" applyFont="1" applyAlignment="1">
      <alignment/>
    </xf>
    <xf numFmtId="0" fontId="9" fillId="0" borderId="3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2" fontId="7" fillId="0" borderId="1" xfId="0" applyNumberFormat="1" applyFont="1" applyBorder="1" applyAlignment="1">
      <alignment horizontal="right"/>
    </xf>
    <xf numFmtId="168" fontId="9" fillId="0" borderId="1" xfId="0" applyNumberFormat="1" applyFont="1" applyBorder="1" applyAlignment="1">
      <alignment horizontal="right"/>
    </xf>
    <xf numFmtId="168" fontId="9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1" fillId="0" borderId="0" xfId="0" applyFont="1" applyAlignment="1">
      <alignment/>
    </xf>
    <xf numFmtId="0" fontId="4" fillId="0" borderId="0" xfId="0" applyFont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Alignment="1">
      <alignment/>
    </xf>
    <xf numFmtId="0" fontId="0" fillId="0" borderId="4" xfId="0" applyBorder="1" applyAlignment="1">
      <alignment horizontal="center" wrapText="1"/>
    </xf>
    <xf numFmtId="1" fontId="7" fillId="0" borderId="0" xfId="0" applyNumberFormat="1" applyFont="1" applyAlignment="1">
      <alignment/>
    </xf>
    <xf numFmtId="168" fontId="0" fillId="0" borderId="1" xfId="0" applyNumberFormat="1" applyBorder="1" applyAlignment="1">
      <alignment/>
    </xf>
    <xf numFmtId="168" fontId="0" fillId="0" borderId="4" xfId="0" applyNumberFormat="1" applyBorder="1" applyAlignment="1">
      <alignment horizontal="center"/>
    </xf>
    <xf numFmtId="168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10" fontId="7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8" fontId="0" fillId="0" borderId="1" xfId="0" applyNumberFormat="1" applyFill="1" applyBorder="1" applyAlignment="1">
      <alignment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7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7" xfId="0" applyFont="1" applyBorder="1" applyAlignment="1">
      <alignment wrapText="1"/>
    </xf>
    <xf numFmtId="168" fontId="0" fillId="0" borderId="0" xfId="0" applyNumberFormat="1" applyAlignment="1">
      <alignment/>
    </xf>
    <xf numFmtId="0" fontId="7" fillId="0" borderId="5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9" fontId="7" fillId="0" borderId="9" xfId="0" applyNumberFormat="1" applyFont="1" applyBorder="1" applyAlignment="1">
      <alignment vertical="top" wrapText="1"/>
    </xf>
    <xf numFmtId="0" fontId="23" fillId="0" borderId="9" xfId="0" applyFont="1" applyBorder="1" applyAlignment="1">
      <alignment vertical="top" wrapText="1"/>
    </xf>
    <xf numFmtId="0" fontId="0" fillId="0" borderId="12" xfId="0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4" xfId="0" applyBorder="1" applyAlignment="1">
      <alignment/>
    </xf>
    <xf numFmtId="0" fontId="21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wrapText="1"/>
    </xf>
    <xf numFmtId="0" fontId="0" fillId="0" borderId="1" xfId="0" applyBorder="1" applyAlignment="1">
      <alignment/>
    </xf>
    <xf numFmtId="168" fontId="0" fillId="0" borderId="4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168" fontId="0" fillId="0" borderId="4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8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4" fillId="0" borderId="0" xfId="0" applyFont="1" applyAlignment="1">
      <alignment/>
    </xf>
    <xf numFmtId="0" fontId="7" fillId="0" borderId="0" xfId="0" applyFont="1" applyAlignment="1">
      <alignment wrapText="1"/>
    </xf>
    <xf numFmtId="0" fontId="14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14" fillId="0" borderId="4" xfId="0" applyFont="1" applyBorder="1" applyAlignment="1">
      <alignment/>
    </xf>
    <xf numFmtId="0" fontId="14" fillId="0" borderId="12" xfId="0" applyFont="1" applyBorder="1" applyAlignment="1">
      <alignment/>
    </xf>
    <xf numFmtId="0" fontId="21" fillId="0" borderId="3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4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168" fontId="8" fillId="0" borderId="0" xfId="0" applyNumberFormat="1" applyFont="1" applyAlignment="1">
      <alignment/>
    </xf>
    <xf numFmtId="168" fontId="21" fillId="0" borderId="0" xfId="0" applyNumberFormat="1" applyFont="1" applyAlignment="1">
      <alignment/>
    </xf>
    <xf numFmtId="170" fontId="21" fillId="0" borderId="0" xfId="0" applyNumberFormat="1" applyFont="1" applyAlignment="1">
      <alignment horizontal="right"/>
    </xf>
    <xf numFmtId="168" fontId="21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0" fontId="8" fillId="0" borderId="0" xfId="0" applyNumberFormat="1" applyFont="1" applyAlignment="1">
      <alignment horizontal="left" indent="3"/>
    </xf>
    <xf numFmtId="0" fontId="25" fillId="0" borderId="0" xfId="0" applyFont="1" applyAlignment="1">
      <alignment/>
    </xf>
    <xf numFmtId="10" fontId="8" fillId="0" borderId="0" xfId="0" applyNumberFormat="1" applyFont="1" applyAlignment="1">
      <alignment/>
    </xf>
    <xf numFmtId="0" fontId="21" fillId="0" borderId="0" xfId="0" applyFont="1" applyAlignment="1">
      <alignment wrapText="1"/>
    </xf>
    <xf numFmtId="0" fontId="21" fillId="0" borderId="0" xfId="0" applyNumberFormat="1" applyFont="1" applyAlignment="1">
      <alignment/>
    </xf>
    <xf numFmtId="168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168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168" fontId="8" fillId="0" borderId="0" xfId="0" applyNumberFormat="1" applyFont="1" applyBorder="1" applyAlignment="1">
      <alignment/>
    </xf>
    <xf numFmtId="171" fontId="8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192" fontId="8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170" fontId="14" fillId="0" borderId="1" xfId="0" applyNumberFormat="1" applyFont="1" applyBorder="1" applyAlignment="1">
      <alignment/>
    </xf>
    <xf numFmtId="1" fontId="14" fillId="0" borderId="1" xfId="0" applyNumberFormat="1" applyFont="1" applyBorder="1" applyAlignment="1">
      <alignment/>
    </xf>
    <xf numFmtId="168" fontId="14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/>
    </xf>
    <xf numFmtId="2" fontId="0" fillId="0" borderId="4" xfId="0" applyNumberFormat="1" applyBorder="1" applyAlignment="1">
      <alignment horizontal="center"/>
    </xf>
    <xf numFmtId="2" fontId="0" fillId="0" borderId="12" xfId="0" applyNumberFormat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0" xfId="0" applyFill="1" applyAlignment="1">
      <alignment/>
    </xf>
    <xf numFmtId="0" fontId="0" fillId="2" borderId="4" xfId="0" applyFill="1" applyBorder="1" applyAlignment="1">
      <alignment horizontal="center" wrapText="1"/>
    </xf>
    <xf numFmtId="0" fontId="0" fillId="2" borderId="4" xfId="0" applyFill="1" applyBorder="1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2" fontId="7" fillId="0" borderId="8" xfId="0" applyNumberFormat="1" applyFont="1" applyBorder="1" applyAlignment="1">
      <alignment vertical="top" wrapText="1"/>
    </xf>
    <xf numFmtId="2" fontId="7" fillId="0" borderId="9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 vertical="top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2" fontId="14" fillId="0" borderId="0" xfId="0" applyNumberFormat="1" applyFont="1" applyAlignment="1">
      <alignment horizontal="center"/>
    </xf>
    <xf numFmtId="172" fontId="14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rgebnis&#252;bersi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gebnisübersicht"/>
      <sheetName val="Basisdaten"/>
      <sheetName val="3.1. Erdgas"/>
      <sheetName val="3.2. Kohle"/>
      <sheetName val="3.3. Erdöl"/>
      <sheetName val="3.4. Biokraftstoffe 1. Gen."/>
      <sheetName val="3.5. Biokraftstoffe 2. Gen."/>
      <sheetName val="3.6. Kraftwerkstechnologien"/>
      <sheetName val="3.7. Photokatalyse"/>
      <sheetName val="3.8 Photovoltaik Anorg."/>
      <sheetName val="3.9. Solarthermie"/>
      <sheetName val="3.10. Thermoelektrika"/>
      <sheetName val="5.1. Brennstoffzellentechnik"/>
      <sheetName val="5.1 virtuelles Brennstoffzellen"/>
      <sheetName val="5.2. Leuchtdioden, Leuchtstoffe"/>
      <sheetName val="5.3. Supraleiter"/>
      <sheetName val="5.5. Leichtbauwerkstoffe"/>
    </sheetNames>
    <sheetDataSet>
      <sheetData sheetId="1">
        <row r="9">
          <cell r="C9">
            <v>2.21328</v>
          </cell>
        </row>
        <row r="25">
          <cell r="C25">
            <v>58.78799999999999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 topLeftCell="A1">
      <selection activeCell="A1" sqref="A1:L1"/>
    </sheetView>
  </sheetViews>
  <sheetFormatPr defaultColWidth="11.421875" defaultRowHeight="12.75"/>
  <cols>
    <col min="1" max="1" width="38.28125" style="0" bestFit="1" customWidth="1"/>
    <col min="2" max="2" width="7.57421875" style="0" customWidth="1"/>
    <col min="3" max="3" width="7.140625" style="0" customWidth="1"/>
    <col min="4" max="4" width="7.8515625" style="0" customWidth="1"/>
    <col min="5" max="5" width="8.00390625" style="0" customWidth="1"/>
    <col min="6" max="6" width="13.8515625" style="0" bestFit="1" customWidth="1"/>
    <col min="7" max="7" width="7.7109375" style="0" customWidth="1"/>
    <col min="8" max="8" width="8.57421875" style="1" customWidth="1"/>
    <col min="9" max="9" width="6.57421875" style="1" customWidth="1"/>
    <col min="10" max="10" width="6.8515625" style="1" customWidth="1"/>
    <col min="11" max="11" width="16.00390625" style="1" customWidth="1"/>
  </cols>
  <sheetData>
    <row r="1" spans="1:12" ht="20.25">
      <c r="A1" s="180" t="s">
        <v>401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6" ht="18">
      <c r="A2" s="181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3"/>
      <c r="L2" s="2"/>
      <c r="M2" s="2"/>
      <c r="N2" s="2"/>
      <c r="O2" s="2"/>
      <c r="P2" s="2"/>
    </row>
    <row r="3" spans="1:16" ht="18">
      <c r="A3" s="145"/>
      <c r="B3" s="258" t="s">
        <v>5</v>
      </c>
      <c r="C3" s="259"/>
      <c r="D3" s="259"/>
      <c r="E3" s="259"/>
      <c r="F3" s="259"/>
      <c r="G3" s="259"/>
      <c r="H3" s="260"/>
      <c r="I3" s="258" t="s">
        <v>39</v>
      </c>
      <c r="J3" s="261"/>
      <c r="K3" s="262"/>
      <c r="L3" s="2"/>
      <c r="M3" s="2"/>
      <c r="N3" s="2"/>
      <c r="O3" s="2"/>
      <c r="P3" s="2"/>
    </row>
    <row r="4" spans="1:16" ht="51.75">
      <c r="A4" s="145"/>
      <c r="B4" s="263" t="s">
        <v>8</v>
      </c>
      <c r="C4" s="260"/>
      <c r="D4" s="263" t="s">
        <v>7</v>
      </c>
      <c r="E4" s="260"/>
      <c r="F4" s="264" t="s">
        <v>16</v>
      </c>
      <c r="G4" s="263" t="s">
        <v>32</v>
      </c>
      <c r="H4" s="265"/>
      <c r="I4" s="263" t="s">
        <v>6</v>
      </c>
      <c r="J4" s="265"/>
      <c r="K4" s="264" t="s">
        <v>42</v>
      </c>
      <c r="L4" s="2"/>
      <c r="M4" s="2"/>
      <c r="N4" s="2"/>
      <c r="O4" s="2"/>
      <c r="P4" s="2"/>
    </row>
    <row r="5" spans="1:16" ht="18">
      <c r="A5" s="145"/>
      <c r="B5" s="4" t="s">
        <v>104</v>
      </c>
      <c r="C5" s="3" t="s">
        <v>105</v>
      </c>
      <c r="D5" s="4" t="s">
        <v>104</v>
      </c>
      <c r="E5" s="3" t="s">
        <v>105</v>
      </c>
      <c r="F5" s="6"/>
      <c r="G5" s="4" t="s">
        <v>104</v>
      </c>
      <c r="H5" s="3" t="s">
        <v>105</v>
      </c>
      <c r="I5" s="4" t="s">
        <v>104</v>
      </c>
      <c r="J5" s="3" t="s">
        <v>105</v>
      </c>
      <c r="K5" s="6"/>
      <c r="L5" s="2"/>
      <c r="M5" s="2"/>
      <c r="N5" s="2"/>
      <c r="O5" s="2"/>
      <c r="P5" s="2"/>
    </row>
    <row r="6" spans="1:16" ht="12.75">
      <c r="A6" s="266" t="s">
        <v>34</v>
      </c>
      <c r="B6" s="7"/>
      <c r="C6" s="4"/>
      <c r="D6" s="4"/>
      <c r="E6" s="4"/>
      <c r="F6" s="4"/>
      <c r="G6" s="4"/>
      <c r="H6" s="4"/>
      <c r="I6" s="4"/>
      <c r="J6" s="4"/>
      <c r="K6" s="4"/>
      <c r="L6" s="2"/>
      <c r="M6" s="2"/>
      <c r="N6" s="2"/>
      <c r="O6" s="2"/>
      <c r="P6" s="2"/>
    </row>
    <row r="7" spans="1:16" s="163" customFormat="1" ht="12.75">
      <c r="A7" s="267" t="s">
        <v>27</v>
      </c>
      <c r="B7" s="160"/>
      <c r="C7" s="161"/>
      <c r="D7" s="161"/>
      <c r="E7" s="161"/>
      <c r="F7" s="161"/>
      <c r="G7" s="161"/>
      <c r="H7" s="161"/>
      <c r="I7" s="196">
        <f>'3.1. Erdöl'!E13</f>
        <v>3.2121298595029324</v>
      </c>
      <c r="J7" s="197"/>
      <c r="K7" s="162">
        <v>14.6</v>
      </c>
      <c r="L7" s="160"/>
      <c r="M7" s="160"/>
      <c r="N7" s="160"/>
      <c r="O7" s="160"/>
      <c r="P7" s="160"/>
    </row>
    <row r="8" spans="1:16" ht="12.75">
      <c r="A8" s="267" t="s">
        <v>1</v>
      </c>
      <c r="B8" s="2"/>
      <c r="C8" s="3"/>
      <c r="D8" s="3"/>
      <c r="E8" s="3"/>
      <c r="F8" s="3"/>
      <c r="G8" s="3"/>
      <c r="H8" s="3"/>
      <c r="I8" s="190">
        <f>'3.2. Erdgas'!F51</f>
        <v>1.8550711013099033</v>
      </c>
      <c r="J8" s="195"/>
      <c r="K8" s="64">
        <f>'3.2. Erdgas'!F50</f>
        <v>8.449126093664118</v>
      </c>
      <c r="L8" s="5" t="s">
        <v>2</v>
      </c>
      <c r="M8" s="2"/>
      <c r="N8" s="2"/>
      <c r="O8" s="2"/>
      <c r="P8" s="2"/>
    </row>
    <row r="9" spans="1:16" ht="12.75">
      <c r="A9" s="267"/>
      <c r="B9" s="2"/>
      <c r="C9" s="3"/>
      <c r="D9" s="3"/>
      <c r="E9" s="3"/>
      <c r="F9" s="3"/>
      <c r="G9" s="3"/>
      <c r="H9" s="3"/>
      <c r="I9" s="190">
        <f>'3.2. Erdgas'!F75</f>
        <v>0.25534566142186677</v>
      </c>
      <c r="J9" s="195"/>
      <c r="K9" s="64">
        <f>'3.2. Erdgas'!F74</f>
        <v>1.163</v>
      </c>
      <c r="L9" s="5" t="s">
        <v>3</v>
      </c>
      <c r="M9" s="2"/>
      <c r="N9" s="2"/>
      <c r="O9" s="2"/>
      <c r="P9" s="2"/>
    </row>
    <row r="10" spans="1:16" s="163" customFormat="1" ht="12.75">
      <c r="A10" s="267" t="s">
        <v>4</v>
      </c>
      <c r="B10" s="160"/>
      <c r="C10" s="161"/>
      <c r="D10" s="161"/>
      <c r="E10" s="161"/>
      <c r="F10" s="161"/>
      <c r="G10" s="161"/>
      <c r="H10" s="161"/>
      <c r="I10" s="196">
        <f>'3.3. Kohle'!F18</f>
        <v>0.6411086254100181</v>
      </c>
      <c r="J10" s="197"/>
      <c r="K10" s="162">
        <f>'3.3. Kohle'!F15</f>
        <v>2.9200000000000004</v>
      </c>
      <c r="L10" s="160" t="s">
        <v>158</v>
      </c>
      <c r="M10" s="160"/>
      <c r="N10" s="160"/>
      <c r="O10" s="160"/>
      <c r="P10" s="160"/>
    </row>
    <row r="11" spans="1:18" s="163" customFormat="1" ht="13.5" customHeight="1">
      <c r="A11" s="267"/>
      <c r="B11" s="160"/>
      <c r="C11" s="161"/>
      <c r="D11" s="161"/>
      <c r="E11" s="161"/>
      <c r="F11" s="161"/>
      <c r="G11" s="161"/>
      <c r="H11" s="161"/>
      <c r="I11" s="196">
        <f>'3.3. Kohle'!F39</f>
        <v>0.6586732452842651</v>
      </c>
      <c r="J11" s="197"/>
      <c r="K11" s="162">
        <f>'3.3. Kohle'!F36</f>
        <v>3</v>
      </c>
      <c r="L11" s="160" t="s">
        <v>159</v>
      </c>
      <c r="M11" s="160"/>
      <c r="N11" s="160"/>
      <c r="O11" s="160"/>
      <c r="P11" s="160"/>
      <c r="Q11" s="160"/>
      <c r="R11" s="160"/>
    </row>
    <row r="12" spans="1:16" s="163" customFormat="1" ht="12.75">
      <c r="A12" s="267" t="s">
        <v>9</v>
      </c>
      <c r="B12" s="162">
        <f>'3.4. Biokraftstoffe 1. Gen.'!D24</f>
        <v>0.5480202767502398</v>
      </c>
      <c r="C12" s="162">
        <f>'3.4. Biokraftstoffe 1. Gen.'!F24</f>
        <v>1.2056446088505275</v>
      </c>
      <c r="D12" s="162">
        <f>'3.4. Biokraftstoffe 1. Gen.'!D29</f>
        <v>3.284072249589491</v>
      </c>
      <c r="E12" s="162">
        <f>'3.4. Biokraftstoffe 1. Gen.'!F29</f>
        <v>7.22495894909688</v>
      </c>
      <c r="F12" s="161"/>
      <c r="G12" s="161"/>
      <c r="H12" s="161"/>
      <c r="I12" s="161"/>
      <c r="J12" s="161"/>
      <c r="K12" s="161"/>
      <c r="L12" s="160" t="s">
        <v>10</v>
      </c>
      <c r="M12" s="160"/>
      <c r="N12" s="160"/>
      <c r="O12" s="160"/>
      <c r="P12" s="160"/>
    </row>
    <row r="13" spans="1:16" s="163" customFormat="1" ht="12.75">
      <c r="A13" s="267"/>
      <c r="B13" s="162">
        <f>'3.4. Biokraftstoffe 1. Gen.'!D25</f>
        <v>0.17536648856007672</v>
      </c>
      <c r="C13" s="162">
        <f>'3.4. Biokraftstoffe 1. Gen.'!F25</f>
        <v>1.1398821756404987</v>
      </c>
      <c r="D13" s="162">
        <f>'3.4. Biokraftstoffe 1. Gen.'!D30</f>
        <v>1.0509031198686372</v>
      </c>
      <c r="E13" s="162">
        <f>'3.4. Biokraftstoffe 1. Gen.'!F30</f>
        <v>6.830870279146141</v>
      </c>
      <c r="F13" s="161"/>
      <c r="G13" s="161"/>
      <c r="H13" s="161"/>
      <c r="I13" s="161"/>
      <c r="J13" s="161"/>
      <c r="K13" s="161"/>
      <c r="L13" s="160" t="s">
        <v>11</v>
      </c>
      <c r="M13" s="160"/>
      <c r="N13" s="160"/>
      <c r="O13" s="160"/>
      <c r="P13" s="160"/>
    </row>
    <row r="14" spans="1:16" s="163" customFormat="1" ht="12.75">
      <c r="A14" s="267"/>
      <c r="B14" s="162">
        <f>'3.4. Biokraftstoffe 1. Gen.'!D26</f>
        <v>1.4248527195506233</v>
      </c>
      <c r="C14" s="162">
        <f>'3.4. Biokraftstoffe 1. Gen.'!F26</f>
        <v>3.2881216605014387</v>
      </c>
      <c r="D14" s="162">
        <f>'3.4. Biokraftstoffe 1. Gen.'!D31</f>
        <v>8.538587848932677</v>
      </c>
      <c r="E14" s="162">
        <f>'3.4. Biokraftstoffe 1. Gen.'!F31</f>
        <v>19.704433497536947</v>
      </c>
      <c r="F14" s="161"/>
      <c r="G14" s="161"/>
      <c r="H14" s="161"/>
      <c r="I14" s="161"/>
      <c r="J14" s="161"/>
      <c r="K14" s="161"/>
      <c r="L14" s="160" t="s">
        <v>12</v>
      </c>
      <c r="M14" s="160"/>
      <c r="N14" s="160"/>
      <c r="O14" s="160"/>
      <c r="P14" s="160"/>
    </row>
    <row r="15" spans="1:16" s="163" customFormat="1" ht="12.75">
      <c r="A15" s="267" t="s">
        <v>14</v>
      </c>
      <c r="B15" s="162">
        <f>'3.5. Biokraftstoffe 2. Gen.'!B44</f>
        <v>2.411289217701055</v>
      </c>
      <c r="C15" s="162">
        <f>'3.5. Biokraftstoffe 2. Gen.'!D44</f>
        <v>3.0250719276613234</v>
      </c>
      <c r="D15" s="162">
        <f>'3.5. Biokraftstoffe 2. Gen.'!B45</f>
        <v>14.44991789819376</v>
      </c>
      <c r="E15" s="162">
        <f>'3.5. Biokraftstoffe 2. Gen.'!D45</f>
        <v>18.12807881773399</v>
      </c>
      <c r="F15" s="161"/>
      <c r="G15" s="161"/>
      <c r="H15" s="161"/>
      <c r="I15" s="161"/>
      <c r="J15" s="161"/>
      <c r="K15" s="161"/>
      <c r="L15" s="160" t="s">
        <v>417</v>
      </c>
      <c r="M15" s="160"/>
      <c r="N15" s="160"/>
      <c r="O15" s="160"/>
      <c r="P15" s="160"/>
    </row>
    <row r="16" spans="1:16" s="163" customFormat="1" ht="12.75">
      <c r="A16" s="267"/>
      <c r="B16" s="196">
        <f>'3.5. Biokraftstoffe 2. Gen.'!B30</f>
        <v>0.3858594934032059</v>
      </c>
      <c r="C16" s="197"/>
      <c r="D16" s="196">
        <f>'3.5. Biokraftstoffe 2. Gen.'!B29</f>
        <v>2.312305781896552</v>
      </c>
      <c r="E16" s="197"/>
      <c r="F16" s="161"/>
      <c r="G16" s="161"/>
      <c r="H16" s="161"/>
      <c r="I16" s="161"/>
      <c r="J16" s="161"/>
      <c r="K16" s="161"/>
      <c r="L16" s="160" t="s">
        <v>13</v>
      </c>
      <c r="M16" s="160"/>
      <c r="N16" s="160"/>
      <c r="O16" s="160"/>
      <c r="P16" s="160"/>
    </row>
    <row r="17" spans="1:16" s="163" customFormat="1" ht="12.75">
      <c r="A17" s="267" t="s">
        <v>22</v>
      </c>
      <c r="B17" s="164"/>
      <c r="C17" s="162"/>
      <c r="D17" s="162"/>
      <c r="E17" s="162"/>
      <c r="F17" s="161"/>
      <c r="G17" s="161"/>
      <c r="H17" s="161"/>
      <c r="I17" s="162">
        <f>'3.6. Kraftwerkstechnologien'!D12</f>
        <v>0.9338467560740998</v>
      </c>
      <c r="J17" s="162">
        <f>'3.6. Kraftwerkstechnologien'!F12</f>
        <v>1.8676935121481997</v>
      </c>
      <c r="K17" s="161"/>
      <c r="L17" s="160"/>
      <c r="M17" s="160"/>
      <c r="N17" s="160"/>
      <c r="O17" s="160"/>
      <c r="P17" s="160"/>
    </row>
    <row r="18" spans="1:16" s="163" customFormat="1" ht="12.75">
      <c r="A18" s="267" t="s">
        <v>23</v>
      </c>
      <c r="B18" s="196">
        <f>'3.7. Photokatalyse'!C14</f>
        <v>1.2330456226880393</v>
      </c>
      <c r="C18" s="184"/>
      <c r="D18" s="162"/>
      <c r="E18" s="162"/>
      <c r="F18" s="161"/>
      <c r="G18" s="161"/>
      <c r="H18" s="161"/>
      <c r="I18" s="161"/>
      <c r="J18" s="161"/>
      <c r="K18" s="161"/>
      <c r="L18" s="160"/>
      <c r="M18" s="160"/>
      <c r="N18" s="160"/>
      <c r="O18" s="160"/>
      <c r="P18" s="160"/>
    </row>
    <row r="19" spans="1:16" s="163" customFormat="1" ht="12.75">
      <c r="A19" s="267" t="s">
        <v>15</v>
      </c>
      <c r="B19" s="196">
        <f>'3.8 Photovoltaik Anorg.'!B17</f>
        <v>0.16177558569667078</v>
      </c>
      <c r="C19" s="184"/>
      <c r="D19" s="162"/>
      <c r="E19" s="162"/>
      <c r="F19" s="162">
        <f>'3.8 Photovoltaik Anorg.'!B16</f>
        <v>1.0670136629798308</v>
      </c>
      <c r="G19" s="161"/>
      <c r="H19" s="161"/>
      <c r="I19" s="161"/>
      <c r="J19" s="161"/>
      <c r="K19" s="161"/>
      <c r="L19" s="160" t="s">
        <v>17</v>
      </c>
      <c r="M19" s="160"/>
      <c r="N19" s="160"/>
      <c r="O19" s="160"/>
      <c r="P19" s="160"/>
    </row>
    <row r="20" spans="1:16" ht="12.75">
      <c r="A20" s="267" t="s">
        <v>21</v>
      </c>
      <c r="B20" s="153">
        <f>'3.9. Solarthermie'!D15</f>
        <v>0.04272503082614057</v>
      </c>
      <c r="C20" s="153">
        <f>'3.9. Solarthermie'!E15</f>
        <v>0.11615289765721334</v>
      </c>
      <c r="D20" s="64"/>
      <c r="E20" s="64"/>
      <c r="F20" s="3"/>
      <c r="G20" s="153">
        <f>'3.9. Solarthermie'!D14</f>
        <v>0.1306725329981144</v>
      </c>
      <c r="H20" s="153">
        <f>'3.9. Solarthermie'!E14</f>
        <v>0.3552482715273414</v>
      </c>
      <c r="I20" s="64"/>
      <c r="J20" s="3"/>
      <c r="K20" s="3"/>
      <c r="L20" s="2"/>
      <c r="M20" s="2"/>
      <c r="N20" s="2"/>
      <c r="O20" s="2"/>
      <c r="P20" s="2"/>
    </row>
    <row r="21" spans="1:16" ht="12.75">
      <c r="A21" s="267" t="s">
        <v>18</v>
      </c>
      <c r="B21" s="64">
        <f>'3.10. Thermoelektrika'!B5</f>
        <v>0.83436087135224</v>
      </c>
      <c r="C21" s="64">
        <f>'3.10. Thermoelektrika'!D5</f>
        <v>1.1681052198931359</v>
      </c>
      <c r="D21" s="64"/>
      <c r="E21" s="64"/>
      <c r="F21" s="3"/>
      <c r="G21" s="3"/>
      <c r="H21" s="3"/>
      <c r="I21" s="3"/>
      <c r="J21" s="3"/>
      <c r="K21" s="3"/>
      <c r="L21" s="2" t="s">
        <v>19</v>
      </c>
      <c r="M21" s="2"/>
      <c r="N21" s="2"/>
      <c r="O21" s="2"/>
      <c r="P21" s="2"/>
    </row>
    <row r="22" spans="1:16" ht="12.75">
      <c r="A22" s="2"/>
      <c r="B22" s="256">
        <f>'3.10. Thermoelektrika'!B13</f>
        <v>0.24660912453760786</v>
      </c>
      <c r="C22" s="257"/>
      <c r="D22" s="64"/>
      <c r="E22" s="64"/>
      <c r="F22" s="3"/>
      <c r="G22" s="3"/>
      <c r="H22" s="3"/>
      <c r="I22" s="3"/>
      <c r="J22" s="3"/>
      <c r="K22" s="3"/>
      <c r="L22" s="2" t="s">
        <v>20</v>
      </c>
      <c r="M22" s="2"/>
      <c r="N22" s="2"/>
      <c r="O22" s="2"/>
      <c r="P22" s="2"/>
    </row>
    <row r="23" spans="1:16" ht="12.75">
      <c r="A23" s="2"/>
      <c r="B23" s="2"/>
      <c r="C23" s="3"/>
      <c r="D23" s="3"/>
      <c r="E23" s="3"/>
      <c r="F23" s="3"/>
      <c r="G23" s="3"/>
      <c r="H23" s="3"/>
      <c r="I23" s="3"/>
      <c r="J23" s="3"/>
      <c r="K23" s="3"/>
      <c r="L23" s="2"/>
      <c r="M23" s="2"/>
      <c r="N23" s="2"/>
      <c r="O23" s="2"/>
      <c r="P23" s="2"/>
    </row>
    <row r="24" spans="1:16" ht="12.75">
      <c r="A24" s="266" t="s">
        <v>35</v>
      </c>
      <c r="B24" s="7"/>
      <c r="C24" s="3"/>
      <c r="D24" s="3"/>
      <c r="E24" s="3"/>
      <c r="F24" s="3"/>
      <c r="G24" s="3"/>
      <c r="H24" s="3"/>
      <c r="I24" s="3"/>
      <c r="J24" s="3"/>
      <c r="K24" s="3"/>
      <c r="L24" s="2"/>
      <c r="M24" s="2"/>
      <c r="N24" s="2"/>
      <c r="O24" s="2"/>
      <c r="P24" s="2"/>
    </row>
    <row r="25" spans="1:16" ht="12.75">
      <c r="A25" s="267" t="s">
        <v>24</v>
      </c>
      <c r="B25" s="2"/>
      <c r="C25" s="3"/>
      <c r="D25" s="3"/>
      <c r="E25" s="3"/>
      <c r="F25" s="3"/>
      <c r="G25" s="3"/>
      <c r="H25" s="3"/>
      <c r="I25" s="3"/>
      <c r="J25" s="3"/>
      <c r="K25" s="3"/>
      <c r="L25" s="2"/>
      <c r="M25" s="2"/>
      <c r="N25" s="2"/>
      <c r="O25" s="2"/>
      <c r="P25" s="2"/>
    </row>
    <row r="26" spans="1:16" ht="12.75">
      <c r="A26" s="267" t="s">
        <v>25</v>
      </c>
      <c r="B26" s="2"/>
      <c r="C26" s="2"/>
      <c r="D26" s="2"/>
      <c r="E26" s="2"/>
      <c r="F26" s="2"/>
      <c r="G26" s="2"/>
      <c r="H26" s="3"/>
      <c r="I26" s="3"/>
      <c r="J26" s="3"/>
      <c r="K26" s="3"/>
      <c r="L26" s="2"/>
      <c r="M26" s="2"/>
      <c r="N26" s="2"/>
      <c r="O26" s="2"/>
      <c r="P26" s="2"/>
    </row>
    <row r="27" spans="1:16" ht="25.5">
      <c r="A27" s="268" t="s">
        <v>33</v>
      </c>
      <c r="B27" s="6"/>
      <c r="C27" s="2"/>
      <c r="D27" s="2"/>
      <c r="E27" s="2"/>
      <c r="F27" s="2"/>
      <c r="G27" s="2"/>
      <c r="H27" s="3"/>
      <c r="I27" s="3"/>
      <c r="J27" s="3"/>
      <c r="K27" s="3"/>
      <c r="L27" s="2"/>
      <c r="M27" s="2"/>
      <c r="N27" s="2"/>
      <c r="O27" s="2"/>
      <c r="P27" s="2"/>
    </row>
    <row r="28" spans="1:16" ht="12.75">
      <c r="A28" s="6"/>
      <c r="B28" s="6"/>
      <c r="C28" s="2"/>
      <c r="D28" s="2"/>
      <c r="E28" s="2"/>
      <c r="F28" s="2"/>
      <c r="G28" s="2"/>
      <c r="H28" s="3"/>
      <c r="I28" s="3"/>
      <c r="J28" s="3"/>
      <c r="K28" s="3"/>
      <c r="L28" s="2"/>
      <c r="M28" s="2"/>
      <c r="N28" s="2"/>
      <c r="O28" s="2"/>
      <c r="P28" s="2"/>
    </row>
    <row r="29" spans="1:16" ht="12.75">
      <c r="A29" s="2"/>
      <c r="B29" s="258" t="s">
        <v>5</v>
      </c>
      <c r="C29" s="259"/>
      <c r="D29" s="259"/>
      <c r="E29" s="259"/>
      <c r="F29" s="259"/>
      <c r="G29" s="259"/>
      <c r="H29" s="260"/>
      <c r="I29" s="258" t="s">
        <v>39</v>
      </c>
      <c r="J29" s="261"/>
      <c r="K29" s="262"/>
      <c r="L29" s="2"/>
      <c r="M29" s="2"/>
      <c r="N29" s="2"/>
      <c r="O29" s="2"/>
      <c r="P29" s="2"/>
    </row>
    <row r="30" spans="1:20" ht="38.25">
      <c r="A30" s="2"/>
      <c r="B30" s="263" t="s">
        <v>37</v>
      </c>
      <c r="C30" s="260"/>
      <c r="D30" s="263" t="s">
        <v>41</v>
      </c>
      <c r="E30" s="265"/>
      <c r="F30" s="270" t="s">
        <v>38</v>
      </c>
      <c r="G30" s="271"/>
      <c r="H30" s="260"/>
      <c r="I30" s="272" t="s">
        <v>37</v>
      </c>
      <c r="J30" s="273"/>
      <c r="K30" s="264" t="s">
        <v>38</v>
      </c>
      <c r="L30" s="3"/>
      <c r="M30" s="3"/>
      <c r="P30" s="2"/>
      <c r="Q30" s="2"/>
      <c r="R30" s="2"/>
      <c r="S30" s="2"/>
      <c r="T30" s="2"/>
    </row>
    <row r="31" spans="1:20" ht="12.75">
      <c r="A31" s="2"/>
      <c r="B31" s="4" t="s">
        <v>104</v>
      </c>
      <c r="C31" s="189" t="s">
        <v>105</v>
      </c>
      <c r="D31" s="4" t="s">
        <v>275</v>
      </c>
      <c r="E31" s="4" t="s">
        <v>105</v>
      </c>
      <c r="F31" s="147"/>
      <c r="G31" s="185"/>
      <c r="H31" s="179"/>
      <c r="I31" s="3"/>
      <c r="J31" s="3"/>
      <c r="K31" s="4"/>
      <c r="L31" s="3"/>
      <c r="M31" s="3"/>
      <c r="N31" s="4"/>
      <c r="O31" s="4"/>
      <c r="P31" s="2"/>
      <c r="Q31" s="2"/>
      <c r="R31" s="2"/>
      <c r="S31" s="2"/>
      <c r="T31" s="2"/>
    </row>
    <row r="32" spans="1:20" ht="12.75">
      <c r="A32" s="266" t="s">
        <v>36</v>
      </c>
      <c r="B32" s="7"/>
      <c r="C32" s="7"/>
      <c r="D32" s="7"/>
      <c r="E32" s="7"/>
      <c r="F32" s="158"/>
      <c r="G32" s="199"/>
      <c r="H32" s="195"/>
      <c r="I32" s="3"/>
      <c r="J32" s="3"/>
      <c r="K32" s="3"/>
      <c r="L32" s="3"/>
      <c r="M32" s="3"/>
      <c r="N32" s="3"/>
      <c r="O32" s="3"/>
      <c r="P32" s="2"/>
      <c r="Q32" s="2"/>
      <c r="R32" s="2"/>
      <c r="S32" s="2"/>
      <c r="T32" s="2"/>
    </row>
    <row r="33" spans="1:20" ht="12.75">
      <c r="A33" s="267" t="s">
        <v>26</v>
      </c>
      <c r="B33" s="190">
        <f>'5.1. Brennstoffzellentechnik'!C43</f>
        <v>0.6806411837237978</v>
      </c>
      <c r="C33" s="191"/>
      <c r="D33" s="7"/>
      <c r="E33" s="7"/>
      <c r="F33" s="158"/>
      <c r="G33" s="199"/>
      <c r="H33" s="195"/>
      <c r="I33" s="3"/>
      <c r="J33" s="3"/>
      <c r="K33" s="3"/>
      <c r="L33" t="s">
        <v>342</v>
      </c>
      <c r="O33" s="3"/>
      <c r="P33" s="2"/>
      <c r="Q33" s="2"/>
      <c r="R33" s="2"/>
      <c r="S33" s="2"/>
      <c r="T33" s="2"/>
    </row>
    <row r="34" spans="1:20" ht="12.75">
      <c r="A34" s="269"/>
      <c r="B34" s="190">
        <f>'5.1 virtuelles Brennstoffzellen'!E55</f>
        <v>0.7</v>
      </c>
      <c r="C34" s="191"/>
      <c r="D34" s="2"/>
      <c r="E34" s="2"/>
      <c r="F34" s="156"/>
      <c r="G34" s="199"/>
      <c r="H34" s="195"/>
      <c r="I34" s="3"/>
      <c r="J34" s="3"/>
      <c r="K34" s="3"/>
      <c r="L34" s="192" t="s">
        <v>291</v>
      </c>
      <c r="M34" s="193"/>
      <c r="N34" s="194"/>
      <c r="O34" s="3"/>
      <c r="P34" s="2"/>
      <c r="Q34" s="2"/>
      <c r="R34" s="2"/>
      <c r="S34" s="2"/>
      <c r="T34" s="2"/>
    </row>
    <row r="35" spans="1:20" ht="12.75">
      <c r="A35" s="267" t="s">
        <v>28</v>
      </c>
      <c r="B35" s="200">
        <f>'5.2. Leuchtdioden, Leuchtstoffe'!B12</f>
        <v>0.47531393341553646</v>
      </c>
      <c r="C35" s="200"/>
      <c r="D35" s="149"/>
      <c r="E35" s="149"/>
      <c r="F35" s="150">
        <f>'5.2. Leuchtdioden, Leuchtstoffe'!B11</f>
        <v>3.1350000000000007</v>
      </c>
      <c r="G35" s="190"/>
      <c r="H35" s="195"/>
      <c r="I35" s="190">
        <f>'5.2. Leuchtdioden, Leuchtstoffe'!B24</f>
        <v>0.8092915293448216</v>
      </c>
      <c r="J35" s="195"/>
      <c r="K35" s="64">
        <f>'5.2. Leuchtdioden, Leuchtstoffe'!B23</f>
        <v>6.27</v>
      </c>
      <c r="L35" s="3"/>
      <c r="M35" s="3"/>
      <c r="P35" s="2"/>
      <c r="Q35" s="2"/>
      <c r="R35" s="2"/>
      <c r="S35" s="2"/>
      <c r="T35" s="2"/>
    </row>
    <row r="36" spans="1:20" ht="12.75">
      <c r="A36" s="267" t="s">
        <v>29</v>
      </c>
      <c r="B36" s="201">
        <f>'5.3. Supraleiter'!E10</f>
        <v>0.06292231812577065</v>
      </c>
      <c r="C36" s="198"/>
      <c r="D36" s="2"/>
      <c r="E36" s="2"/>
      <c r="F36" s="150">
        <f>'5.3. Supraleiter'!E9</f>
        <v>0.41501301236174365</v>
      </c>
      <c r="G36" s="199"/>
      <c r="H36" s="195"/>
      <c r="I36" s="3"/>
      <c r="J36" s="3"/>
      <c r="K36" s="3"/>
      <c r="L36" s="2" t="s">
        <v>241</v>
      </c>
      <c r="M36" s="3"/>
      <c r="N36" s="3"/>
      <c r="O36" s="3"/>
      <c r="Q36" s="2"/>
      <c r="R36" s="2"/>
      <c r="S36" s="2"/>
      <c r="T36" s="2"/>
    </row>
    <row r="37" spans="1:20" ht="12.75">
      <c r="A37" s="267" t="s">
        <v>30</v>
      </c>
      <c r="B37" s="192" t="s">
        <v>40</v>
      </c>
      <c r="C37" s="202"/>
      <c r="D37" s="202"/>
      <c r="E37" s="179"/>
      <c r="G37" s="199"/>
      <c r="H37" s="195"/>
      <c r="I37" s="3"/>
      <c r="J37" s="3"/>
      <c r="K37" s="3"/>
      <c r="L37" s="3"/>
      <c r="M37" s="3"/>
      <c r="N37" s="3"/>
      <c r="O37" s="3"/>
      <c r="P37" s="2"/>
      <c r="Q37" s="2"/>
      <c r="R37" s="2"/>
      <c r="S37" s="2"/>
      <c r="T37" s="2"/>
    </row>
    <row r="38" spans="1:20" ht="12.75">
      <c r="A38" s="267" t="s">
        <v>31</v>
      </c>
      <c r="B38" s="64">
        <f>'5.5. Leichtbauwerkstoffe'!F12</f>
        <v>0.3612665844636252</v>
      </c>
      <c r="C38" s="64">
        <f>'5.5. Leichtbauwerkstoffe'!G12</f>
        <v>0.6732695437731196</v>
      </c>
      <c r="D38" s="64">
        <f>'5.5. Leichtbauwerkstoffe'!F11</f>
        <v>2.164930049261084</v>
      </c>
      <c r="E38" s="64">
        <f>'5.5. Leichtbauwerkstoffe'!G11</f>
        <v>4.03464236453202</v>
      </c>
      <c r="F38" s="156"/>
      <c r="G38" s="199"/>
      <c r="H38" s="195"/>
      <c r="I38" s="3"/>
      <c r="J38" s="3"/>
      <c r="K38" s="3"/>
      <c r="L38" s="3"/>
      <c r="M38" s="3"/>
      <c r="N38" s="3"/>
      <c r="O38" s="3"/>
      <c r="P38" s="2"/>
      <c r="Q38" s="2"/>
      <c r="R38" s="2"/>
      <c r="S38" s="2"/>
      <c r="T38" s="2"/>
    </row>
  </sheetData>
  <mergeCells count="39">
    <mergeCell ref="I29:K29"/>
    <mergeCell ref="G33:H33"/>
    <mergeCell ref="I30:J30"/>
    <mergeCell ref="I35:J35"/>
    <mergeCell ref="G30:H30"/>
    <mergeCell ref="G31:H31"/>
    <mergeCell ref="G32:H32"/>
    <mergeCell ref="G34:H34"/>
    <mergeCell ref="G35:H35"/>
    <mergeCell ref="B16:C16"/>
    <mergeCell ref="D16:E16"/>
    <mergeCell ref="B18:C18"/>
    <mergeCell ref="B30:C30"/>
    <mergeCell ref="D30:E30"/>
    <mergeCell ref="B19:C19"/>
    <mergeCell ref="B22:C22"/>
    <mergeCell ref="B29:H29"/>
    <mergeCell ref="A1:L1"/>
    <mergeCell ref="B4:C4"/>
    <mergeCell ref="D4:E4"/>
    <mergeCell ref="A2:K2"/>
    <mergeCell ref="B3:H3"/>
    <mergeCell ref="I3:K3"/>
    <mergeCell ref="G37:H37"/>
    <mergeCell ref="G38:H38"/>
    <mergeCell ref="B34:C34"/>
    <mergeCell ref="B35:C35"/>
    <mergeCell ref="B36:C36"/>
    <mergeCell ref="B37:E37"/>
    <mergeCell ref="G36:H36"/>
    <mergeCell ref="B33:C33"/>
    <mergeCell ref="L34:N34"/>
    <mergeCell ref="G4:H4"/>
    <mergeCell ref="I4:J4"/>
    <mergeCell ref="I8:J8"/>
    <mergeCell ref="I9:J9"/>
    <mergeCell ref="I10:J10"/>
    <mergeCell ref="I11:J11"/>
    <mergeCell ref="I7:J7"/>
  </mergeCells>
  <printOptions/>
  <pageMargins left="0.2" right="0.21" top="1" bottom="1" header="0.4921259845" footer="0.4921259845"/>
  <pageSetup horizontalDpi="600" verticalDpi="600" orientation="landscape" paperSize="9" scale="74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11.421875" defaultRowHeight="12.75"/>
  <cols>
    <col min="1" max="1" width="57.00390625" style="0" bestFit="1" customWidth="1"/>
    <col min="2" max="2" width="11.421875" style="0" customWidth="1"/>
  </cols>
  <sheetData>
    <row r="1" s="141" customFormat="1" ht="18">
      <c r="A1" s="141" t="s">
        <v>419</v>
      </c>
    </row>
    <row r="3" spans="1:3" s="251" customFormat="1" ht="15.75">
      <c r="A3" s="250" t="s">
        <v>249</v>
      </c>
      <c r="B3" s="187"/>
      <c r="C3" s="187"/>
    </row>
    <row r="4" spans="1:3" s="52" customFormat="1" ht="18">
      <c r="A4" s="96" t="s">
        <v>62</v>
      </c>
      <c r="B4" s="97">
        <f>Basisdaten!C15</f>
        <v>1000</v>
      </c>
      <c r="C4" s="96" t="s">
        <v>420</v>
      </c>
    </row>
    <row r="5" spans="1:3" s="52" customFormat="1" ht="18">
      <c r="A5" s="96" t="s">
        <v>245</v>
      </c>
      <c r="B5" s="252">
        <v>37.6</v>
      </c>
      <c r="C5" s="96" t="s">
        <v>225</v>
      </c>
    </row>
    <row r="6" spans="1:3" s="52" customFormat="1" ht="18">
      <c r="A6" s="96" t="s">
        <v>244</v>
      </c>
      <c r="B6" s="97">
        <v>300</v>
      </c>
      <c r="C6" s="96" t="s">
        <v>225</v>
      </c>
    </row>
    <row r="7" spans="1:3" s="52" customFormat="1" ht="15">
      <c r="A7" s="96" t="s">
        <v>247</v>
      </c>
      <c r="B7" s="253">
        <v>20</v>
      </c>
      <c r="C7" s="96" t="s">
        <v>91</v>
      </c>
    </row>
    <row r="8" spans="1:3" s="52" customFormat="1" ht="15">
      <c r="A8" s="96" t="s">
        <v>246</v>
      </c>
      <c r="B8" s="253">
        <v>25</v>
      </c>
      <c r="C8" s="96" t="s">
        <v>91</v>
      </c>
    </row>
    <row r="9" spans="1:3" s="52" customFormat="1" ht="15">
      <c r="A9" s="96"/>
      <c r="B9" s="253"/>
      <c r="C9" s="96"/>
    </row>
    <row r="10" spans="1:3" s="74" customFormat="1" ht="15.75">
      <c r="A10" s="242" t="s">
        <v>254</v>
      </c>
      <c r="B10" s="255"/>
      <c r="C10" s="242"/>
    </row>
    <row r="11" spans="1:3" s="52" customFormat="1" ht="15">
      <c r="A11" s="96" t="s">
        <v>242</v>
      </c>
      <c r="B11" s="252">
        <f>B4*B6*1000000*B8/1000000000</f>
        <v>7500</v>
      </c>
      <c r="C11" s="96" t="s">
        <v>55</v>
      </c>
    </row>
    <row r="12" spans="1:4" s="74" customFormat="1" ht="15.75">
      <c r="A12" s="242" t="s">
        <v>243</v>
      </c>
      <c r="B12" s="241">
        <f>B11/(Basisdaten!C8)</f>
        <v>12.199089134677944</v>
      </c>
      <c r="C12" s="242" t="s">
        <v>91</v>
      </c>
      <c r="D12" s="238"/>
    </row>
    <row r="13" spans="1:3" s="74" customFormat="1" ht="15.75">
      <c r="A13" s="242" t="s">
        <v>234</v>
      </c>
      <c r="B13" s="241">
        <f>B11*3600/(Basisdaten!C5*1000000)</f>
        <v>1.8495684340320593</v>
      </c>
      <c r="C13" s="242" t="s">
        <v>91</v>
      </c>
    </row>
    <row r="14" s="52" customFormat="1" ht="15"/>
    <row r="15" s="52" customFormat="1" ht="15">
      <c r="A15" s="52" t="s">
        <v>248</v>
      </c>
    </row>
    <row r="16" spans="1:3" s="74" customFormat="1" ht="15.75">
      <c r="A16" s="242" t="s">
        <v>243</v>
      </c>
      <c r="B16" s="230">
        <f>(B8-B7)/2*B4*(B6-B5)*1000000*3600/(1000000000000000*Basisdaten!C9)</f>
        <v>1.0670136629798308</v>
      </c>
      <c r="C16" s="101" t="s">
        <v>91</v>
      </c>
    </row>
    <row r="17" spans="1:3" s="74" customFormat="1" ht="15.75">
      <c r="A17" s="242" t="s">
        <v>234</v>
      </c>
      <c r="B17" s="230">
        <f>(B8-B7)/2*B4*(B6-B5)*1000000*3600/(1000000000000000*Basisdaten!C5)</f>
        <v>0.16177558569667078</v>
      </c>
      <c r="C17" s="101" t="s">
        <v>91</v>
      </c>
    </row>
  </sheetData>
  <mergeCells count="1">
    <mergeCell ref="A3:C3"/>
  </mergeCells>
  <printOptions/>
  <pageMargins left="0.45" right="0.21" top="1" bottom="1" header="0.4921259845" footer="0.4921259845"/>
  <pageSetup horizontalDpi="600" verticalDpi="600" orientation="landscape" paperSize="9" scale="75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"/>
    </sheetView>
  </sheetViews>
  <sheetFormatPr defaultColWidth="11.421875" defaultRowHeight="12.75"/>
  <cols>
    <col min="1" max="1" width="50.8515625" style="0" customWidth="1"/>
    <col min="2" max="2" width="7.57421875" style="0" customWidth="1"/>
    <col min="3" max="3" width="8.8515625" style="0" bestFit="1" customWidth="1"/>
    <col min="4" max="5" width="8.140625" style="0" customWidth="1"/>
    <col min="6" max="6" width="10.8515625" style="0" customWidth="1"/>
    <col min="7" max="7" width="16.00390625" style="0" customWidth="1"/>
  </cols>
  <sheetData>
    <row r="1" ht="18">
      <c r="A1" s="141" t="s">
        <v>421</v>
      </c>
    </row>
    <row r="2" ht="18">
      <c r="A2" s="141"/>
    </row>
    <row r="3" s="52" customFormat="1" ht="15.75">
      <c r="A3" s="74" t="s">
        <v>212</v>
      </c>
    </row>
    <row r="4" spans="1:7" s="52" customFormat="1" ht="15">
      <c r="A4" s="96"/>
      <c r="B4" s="96">
        <v>2008</v>
      </c>
      <c r="C4" s="96"/>
      <c r="D4" s="96">
        <v>2030</v>
      </c>
      <c r="E4" s="96">
        <v>2030</v>
      </c>
      <c r="F4" s="96">
        <v>2020</v>
      </c>
      <c r="G4" s="96"/>
    </row>
    <row r="5" spans="1:7" s="52" customFormat="1" ht="18">
      <c r="A5" s="96" t="s">
        <v>227</v>
      </c>
      <c r="B5" s="96">
        <v>11.3</v>
      </c>
      <c r="C5" s="96" t="s">
        <v>422</v>
      </c>
      <c r="D5" s="96">
        <v>57.5</v>
      </c>
      <c r="E5" s="96">
        <v>136.9</v>
      </c>
      <c r="F5" s="96">
        <v>200</v>
      </c>
      <c r="G5" s="96" t="s">
        <v>422</v>
      </c>
    </row>
    <row r="6" spans="1:7" s="52" customFormat="1" ht="18">
      <c r="A6" s="96" t="s">
        <v>228</v>
      </c>
      <c r="B6" s="96">
        <v>375</v>
      </c>
      <c r="C6" s="96" t="s">
        <v>423</v>
      </c>
      <c r="D6" s="96">
        <v>450</v>
      </c>
      <c r="E6" s="96">
        <v>450</v>
      </c>
      <c r="F6" s="96">
        <v>450</v>
      </c>
      <c r="G6" s="96" t="s">
        <v>423</v>
      </c>
    </row>
    <row r="7" spans="1:7" s="52" customFormat="1" ht="15">
      <c r="A7" s="96" t="s">
        <v>229</v>
      </c>
      <c r="B7" s="254">
        <f>B5*1000000*B6*3600/1000000000000</f>
        <v>15.255</v>
      </c>
      <c r="C7" s="96" t="s">
        <v>230</v>
      </c>
      <c r="D7" s="254">
        <f>D5*1000000*D6*3600/1000000000000</f>
        <v>93.15</v>
      </c>
      <c r="E7" s="254">
        <f>E5*1000000*E6*3600/1000000000000</f>
        <v>221.778</v>
      </c>
      <c r="F7" s="254">
        <f>F5*1000000*F6*3600/1000000000000</f>
        <v>324</v>
      </c>
      <c r="G7" s="96" t="s">
        <v>230</v>
      </c>
    </row>
    <row r="8" spans="1:7" s="74" customFormat="1" ht="47.25">
      <c r="A8" s="88" t="s">
        <v>231</v>
      </c>
      <c r="B8" s="241">
        <f>B7*100/(Basisdaten!C13*1000)</f>
        <v>0.31961030798240103</v>
      </c>
      <c r="C8" s="242" t="s">
        <v>91</v>
      </c>
      <c r="D8" s="241">
        <f>D7*100/(Basisdaten!C13*1000)</f>
        <v>1.951602765556254</v>
      </c>
      <c r="E8" s="241">
        <f>E7*100/(Basisdaten!C13*1000)</f>
        <v>4.6465116279069765</v>
      </c>
      <c r="F8" s="241">
        <f>F7*100/(Basisdaten!C13*1000)</f>
        <v>6.788183532369579</v>
      </c>
      <c r="G8" s="242" t="s">
        <v>91</v>
      </c>
    </row>
    <row r="9" spans="1:7" s="74" customFormat="1" ht="15.75">
      <c r="A9" s="242" t="s">
        <v>219</v>
      </c>
      <c r="B9" s="241">
        <f>B7*100/(1000*Basisdaten!C5)</f>
        <v>0.10450061652281134</v>
      </c>
      <c r="C9" s="242" t="s">
        <v>91</v>
      </c>
      <c r="D9" s="241">
        <f>D7*100/(1000*Basisdaten!C5)</f>
        <v>0.6381011097410604</v>
      </c>
      <c r="E9" s="241">
        <f>E7*100/(1000*Basisdaten!C5)</f>
        <v>1.5192355117139333</v>
      </c>
      <c r="F9" s="241">
        <f>F7*100/(1000*Basisdaten!C5)</f>
        <v>2.219482120838471</v>
      </c>
      <c r="G9" s="242" t="s">
        <v>91</v>
      </c>
    </row>
    <row r="10" s="52" customFormat="1" ht="15"/>
    <row r="11" s="52" customFormat="1" ht="15">
      <c r="A11" s="52" t="s">
        <v>248</v>
      </c>
    </row>
    <row r="12" spans="1:6" s="52" customFormat="1" ht="18">
      <c r="A12" s="96" t="s">
        <v>256</v>
      </c>
      <c r="D12" s="52">
        <f>D5-$B$5</f>
        <v>46.2</v>
      </c>
      <c r="E12" s="52">
        <f>E5-$B$5</f>
        <v>125.60000000000001</v>
      </c>
      <c r="F12" s="96" t="s">
        <v>422</v>
      </c>
    </row>
    <row r="13" spans="1:6" s="52" customFormat="1" ht="18">
      <c r="A13" s="52" t="s">
        <v>257</v>
      </c>
      <c r="D13" s="52">
        <f>(D6+$B$6)/2-$B$6</f>
        <v>37.5</v>
      </c>
      <c r="E13" s="52">
        <f>(E6+$B$6)/2-$B$6</f>
        <v>37.5</v>
      </c>
      <c r="F13" s="96" t="s">
        <v>423</v>
      </c>
    </row>
    <row r="14" spans="1:6" s="74" customFormat="1" ht="15.75">
      <c r="A14" s="88" t="s">
        <v>231</v>
      </c>
      <c r="D14" s="235">
        <f>D12*1000000*D13*3600*100/(1000000000000000*Basisdaten!$C$13)</f>
        <v>0.1306725329981144</v>
      </c>
      <c r="E14" s="235">
        <f>E12*1000000*E13*3600*100/(1000000000000000*Basisdaten!$C$13)</f>
        <v>0.3552482715273414</v>
      </c>
      <c r="F14" s="242" t="s">
        <v>91</v>
      </c>
    </row>
    <row r="15" spans="1:6" s="74" customFormat="1" ht="15.75">
      <c r="A15" s="242" t="s">
        <v>219</v>
      </c>
      <c r="D15" s="235">
        <f>D12*1000000*D13*3600*100/(1000000000000000*Basisdaten!$C$5)</f>
        <v>0.04272503082614057</v>
      </c>
      <c r="E15" s="235">
        <f>E12*1000000*E13*3600*100/(1000000000000000*Basisdaten!$C$5)</f>
        <v>0.11615289765721334</v>
      </c>
      <c r="F15" s="242" t="s">
        <v>91</v>
      </c>
    </row>
  </sheetData>
  <printOptions/>
  <pageMargins left="0.45" right="0.21" top="1" bottom="1" header="0.4921259845" footer="0.4921259845"/>
  <pageSetup horizontalDpi="600" verticalDpi="600" orientation="landscape" paperSize="9" scale="7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:C1"/>
    </sheetView>
  </sheetViews>
  <sheetFormatPr defaultColWidth="11.421875" defaultRowHeight="12.75"/>
  <cols>
    <col min="1" max="1" width="30.421875" style="0" bestFit="1" customWidth="1"/>
    <col min="2" max="2" width="13.57421875" style="140" bestFit="1" customWidth="1"/>
    <col min="3" max="3" width="9.00390625" style="0" customWidth="1"/>
    <col min="4" max="4" width="8.7109375" style="0" customWidth="1"/>
    <col min="5" max="5" width="7.421875" style="0" customWidth="1"/>
    <col min="6" max="6" width="10.8515625" style="0" customWidth="1"/>
    <col min="7" max="7" width="16.00390625" style="0" customWidth="1"/>
  </cols>
  <sheetData>
    <row r="1" spans="1:5" s="25" customFormat="1" ht="19.5" customHeight="1">
      <c r="A1" s="217" t="s">
        <v>424</v>
      </c>
      <c r="B1" s="218"/>
      <c r="C1" s="218"/>
      <c r="D1" s="128"/>
      <c r="E1" s="128"/>
    </row>
    <row r="2" spans="1:5" s="25" customFormat="1" ht="33" customHeight="1">
      <c r="A2" s="127"/>
      <c r="B2" s="127"/>
      <c r="C2" s="127"/>
      <c r="D2" s="128"/>
      <c r="E2" s="128"/>
    </row>
    <row r="3" spans="1:5" ht="14.25">
      <c r="A3" s="14" t="s">
        <v>232</v>
      </c>
      <c r="B3" s="138">
        <v>5</v>
      </c>
      <c r="C3" s="14" t="s">
        <v>91</v>
      </c>
      <c r="D3" s="14">
        <v>7</v>
      </c>
      <c r="E3" s="14" t="s">
        <v>91</v>
      </c>
    </row>
    <row r="4" spans="1:5" ht="14.25">
      <c r="A4" s="14" t="s">
        <v>233</v>
      </c>
      <c r="B4" s="129">
        <f>0.05*Basisdaten!C11</f>
        <v>0.1218</v>
      </c>
      <c r="C4" s="14" t="s">
        <v>50</v>
      </c>
      <c r="D4" s="129">
        <f>0.07*Basisdaten!C11</f>
        <v>0.17052</v>
      </c>
      <c r="E4" s="14" t="s">
        <v>50</v>
      </c>
    </row>
    <row r="5" spans="1:5" ht="15">
      <c r="A5" s="10" t="s">
        <v>234</v>
      </c>
      <c r="B5" s="130">
        <f>B4*100/Basisdaten!C5</f>
        <v>0.83436087135224</v>
      </c>
      <c r="C5" s="10" t="s">
        <v>91</v>
      </c>
      <c r="D5" s="131">
        <f>D4*100/Basisdaten!C5</f>
        <v>1.1681052198931359</v>
      </c>
      <c r="E5" s="10" t="s">
        <v>91</v>
      </c>
    </row>
    <row r="6" spans="1:5" ht="14.25">
      <c r="A6" s="132"/>
      <c r="B6" s="133"/>
      <c r="C6" s="132"/>
      <c r="D6" s="8"/>
      <c r="E6" s="8"/>
    </row>
    <row r="7" spans="1:5" ht="14.25">
      <c r="A7" s="134"/>
      <c r="B7" s="135"/>
      <c r="C7" s="132"/>
      <c r="D7" s="8"/>
      <c r="E7" s="8"/>
    </row>
    <row r="8" spans="1:5" ht="14.25">
      <c r="A8" s="8"/>
      <c r="B8" s="136"/>
      <c r="C8" s="8"/>
      <c r="D8" s="8"/>
      <c r="E8" s="8"/>
    </row>
    <row r="9" spans="1:5" ht="14.25">
      <c r="A9" s="14" t="s">
        <v>235</v>
      </c>
      <c r="B9" s="137">
        <v>50000000</v>
      </c>
      <c r="C9" s="14" t="s">
        <v>236</v>
      </c>
      <c r="D9" s="8"/>
      <c r="E9" s="8"/>
    </row>
    <row r="10" spans="1:5" ht="14.25">
      <c r="A10" s="14" t="s">
        <v>237</v>
      </c>
      <c r="B10" s="138">
        <v>1</v>
      </c>
      <c r="C10" s="14" t="s">
        <v>238</v>
      </c>
      <c r="D10" s="8"/>
      <c r="E10" s="8"/>
    </row>
    <row r="11" spans="1:5" ht="14.25">
      <c r="A11" s="14" t="s">
        <v>239</v>
      </c>
      <c r="B11" s="138">
        <v>200</v>
      </c>
      <c r="C11" s="14" t="s">
        <v>240</v>
      </c>
      <c r="D11" s="8"/>
      <c r="E11" s="8"/>
    </row>
    <row r="12" spans="1:5" ht="14.25">
      <c r="A12" s="14" t="s">
        <v>233</v>
      </c>
      <c r="B12" s="138">
        <f>B9*B10*B11/1000000000</f>
        <v>10</v>
      </c>
      <c r="C12" s="14" t="s">
        <v>55</v>
      </c>
      <c r="D12" s="8"/>
      <c r="E12" s="8"/>
    </row>
    <row r="13" spans="1:5" ht="15">
      <c r="A13" s="10" t="s">
        <v>234</v>
      </c>
      <c r="B13" s="139">
        <f>B12*3600/1000000*100/Basisdaten!C5</f>
        <v>0.24660912453760786</v>
      </c>
      <c r="C13" s="10" t="s">
        <v>91</v>
      </c>
      <c r="D13" s="8"/>
      <c r="E13" s="8"/>
    </row>
    <row r="14" spans="1:5" ht="14.25">
      <c r="A14" s="132"/>
      <c r="B14" s="133"/>
      <c r="C14" s="132"/>
      <c r="D14" s="8"/>
      <c r="E14" s="8"/>
    </row>
    <row r="15" spans="1:5" ht="14.25">
      <c r="A15" s="132"/>
      <c r="B15" s="133"/>
      <c r="C15" s="132"/>
      <c r="D15" s="8"/>
      <c r="E15" s="8"/>
    </row>
    <row r="16" spans="1:5" ht="14.25">
      <c r="A16" s="132"/>
      <c r="B16" s="133"/>
      <c r="C16" s="132"/>
      <c r="D16" s="8"/>
      <c r="E16" s="8"/>
    </row>
    <row r="17" spans="1:5" ht="14.25">
      <c r="A17" s="132"/>
      <c r="B17" s="133"/>
      <c r="C17" s="132"/>
      <c r="D17" s="8"/>
      <c r="E17" s="8"/>
    </row>
    <row r="18" spans="1:5" ht="14.25">
      <c r="A18" s="132"/>
      <c r="B18" s="133"/>
      <c r="C18" s="132"/>
      <c r="D18" s="8"/>
      <c r="E18" s="8"/>
    </row>
  </sheetData>
  <mergeCells count="1">
    <mergeCell ref="A1:C1"/>
  </mergeCells>
  <printOptions/>
  <pageMargins left="0.45" right="0.21" top="1" bottom="1" header="0.4921259845" footer="0.4921259845"/>
  <pageSetup horizontalDpi="600" verticalDpi="600" orientation="landscape" paperSize="9" scale="7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A1" sqref="A1"/>
    </sheetView>
  </sheetViews>
  <sheetFormatPr defaultColWidth="11.421875" defaultRowHeight="12.75"/>
  <cols>
    <col min="1" max="1" width="51.7109375" style="0" customWidth="1"/>
    <col min="2" max="2" width="14.28125" style="0" customWidth="1"/>
    <col min="3" max="3" width="15.7109375" style="0" customWidth="1"/>
    <col min="4" max="4" width="14.00390625" style="0" customWidth="1"/>
  </cols>
  <sheetData>
    <row r="1" s="141" customFormat="1" ht="18">
      <c r="A1" s="141" t="s">
        <v>427</v>
      </c>
    </row>
    <row r="2" s="74" customFormat="1" ht="15.75"/>
    <row r="3" s="52" customFormat="1" ht="15.75">
      <c r="A3" s="251" t="s">
        <v>428</v>
      </c>
    </row>
    <row r="4" ht="13.5" thickBot="1"/>
    <row r="5" spans="1:4" ht="28.5">
      <c r="A5" s="165" t="s">
        <v>322</v>
      </c>
      <c r="B5" s="169" t="s">
        <v>292</v>
      </c>
      <c r="C5" s="219" t="s">
        <v>294</v>
      </c>
      <c r="D5" s="219" t="s">
        <v>295</v>
      </c>
    </row>
    <row r="6" spans="1:4" ht="15" thickBot="1">
      <c r="A6" s="166"/>
      <c r="B6" s="170" t="s">
        <v>293</v>
      </c>
      <c r="C6" s="221"/>
      <c r="D6" s="221"/>
    </row>
    <row r="7" spans="1:4" ht="28.5">
      <c r="A7" s="167"/>
      <c r="B7" s="171" t="s">
        <v>292</v>
      </c>
      <c r="C7" s="219" t="s">
        <v>297</v>
      </c>
      <c r="D7" s="219" t="s">
        <v>298</v>
      </c>
    </row>
    <row r="8" spans="1:4" ht="15" thickBot="1">
      <c r="A8" s="167"/>
      <c r="B8" s="170" t="s">
        <v>296</v>
      </c>
      <c r="C8" s="221"/>
      <c r="D8" s="221"/>
    </row>
    <row r="9" spans="1:4" ht="29.25" thickBot="1">
      <c r="A9" s="167"/>
      <c r="B9" s="170" t="s">
        <v>299</v>
      </c>
      <c r="C9" s="170"/>
      <c r="D9" s="170" t="s">
        <v>300</v>
      </c>
    </row>
    <row r="10" spans="1:4" ht="15" thickBot="1">
      <c r="A10" s="168"/>
      <c r="B10" s="170" t="s">
        <v>301</v>
      </c>
      <c r="C10" s="170"/>
      <c r="D10" s="170" t="s">
        <v>302</v>
      </c>
    </row>
    <row r="11" spans="1:4" ht="29.25" thickBot="1">
      <c r="A11" s="165" t="s">
        <v>303</v>
      </c>
      <c r="B11" s="170" t="s">
        <v>304</v>
      </c>
      <c r="C11" s="222" t="s">
        <v>305</v>
      </c>
      <c r="D11" s="170" t="s">
        <v>306</v>
      </c>
    </row>
    <row r="12" spans="1:4" ht="29.25" thickBot="1">
      <c r="A12" s="166"/>
      <c r="B12" s="170" t="s">
        <v>307</v>
      </c>
      <c r="C12" s="223"/>
      <c r="D12" s="170" t="s">
        <v>308</v>
      </c>
    </row>
    <row r="13" spans="1:4" ht="19.5" thickBot="1">
      <c r="A13" s="166"/>
      <c r="B13" s="170" t="s">
        <v>309</v>
      </c>
      <c r="C13" s="224"/>
      <c r="D13" s="170" t="s">
        <v>310</v>
      </c>
    </row>
    <row r="14" spans="1:4" ht="29.25" thickBot="1">
      <c r="A14" s="166"/>
      <c r="B14" s="170" t="s">
        <v>311</v>
      </c>
      <c r="C14" s="219" t="s">
        <v>312</v>
      </c>
      <c r="D14" s="170" t="s">
        <v>313</v>
      </c>
    </row>
    <row r="15" spans="1:4" ht="29.25" thickBot="1">
      <c r="A15" s="166"/>
      <c r="B15" s="170" t="s">
        <v>314</v>
      </c>
      <c r="C15" s="221"/>
      <c r="D15" s="170" t="s">
        <v>315</v>
      </c>
    </row>
    <row r="16" spans="1:4" ht="29.25" thickBot="1">
      <c r="A16" s="166"/>
      <c r="B16" s="170" t="s">
        <v>316</v>
      </c>
      <c r="C16" s="170" t="s">
        <v>317</v>
      </c>
      <c r="D16" s="170" t="s">
        <v>318</v>
      </c>
    </row>
    <row r="17" spans="1:4" ht="29.25" thickBot="1">
      <c r="A17" s="166"/>
      <c r="B17" s="170" t="s">
        <v>311</v>
      </c>
      <c r="C17" s="219" t="s">
        <v>319</v>
      </c>
      <c r="D17" s="170" t="s">
        <v>320</v>
      </c>
    </row>
    <row r="18" spans="1:4" ht="29.25" thickBot="1">
      <c r="A18" s="172"/>
      <c r="B18" s="170" t="s">
        <v>314</v>
      </c>
      <c r="C18" s="221"/>
      <c r="D18" s="170" t="s">
        <v>321</v>
      </c>
    </row>
    <row r="21" ht="15.75">
      <c r="A21" s="74" t="s">
        <v>430</v>
      </c>
    </row>
    <row r="22" ht="13.5" thickBot="1"/>
    <row r="23" spans="1:4" ht="28.5">
      <c r="A23" s="219" t="s">
        <v>323</v>
      </c>
      <c r="B23" s="169" t="s">
        <v>292</v>
      </c>
      <c r="C23" s="219" t="s">
        <v>326</v>
      </c>
      <c r="D23" s="219" t="s">
        <v>327</v>
      </c>
    </row>
    <row r="24" spans="1:4" ht="14.25">
      <c r="A24" s="220"/>
      <c r="B24" s="171" t="s">
        <v>324</v>
      </c>
      <c r="C24" s="220"/>
      <c r="D24" s="220"/>
    </row>
    <row r="25" spans="1:4" ht="15" thickBot="1">
      <c r="A25" s="220"/>
      <c r="B25" s="170" t="s">
        <v>325</v>
      </c>
      <c r="C25" s="221"/>
      <c r="D25" s="221"/>
    </row>
    <row r="26" spans="1:4" ht="28.5">
      <c r="A26" s="220"/>
      <c r="B26" s="171" t="s">
        <v>292</v>
      </c>
      <c r="C26" s="219" t="s">
        <v>329</v>
      </c>
      <c r="D26" s="219" t="s">
        <v>330</v>
      </c>
    </row>
    <row r="27" spans="1:4" ht="14.25">
      <c r="A27" s="220"/>
      <c r="B27" s="171" t="s">
        <v>324</v>
      </c>
      <c r="C27" s="220"/>
      <c r="D27" s="220"/>
    </row>
    <row r="28" spans="1:4" ht="15" thickBot="1">
      <c r="A28" s="220"/>
      <c r="B28" s="170" t="s">
        <v>328</v>
      </c>
      <c r="C28" s="221"/>
      <c r="D28" s="221"/>
    </row>
    <row r="29" spans="1:4" ht="29.25" thickBot="1">
      <c r="A29" s="220"/>
      <c r="B29" s="170" t="s">
        <v>299</v>
      </c>
      <c r="C29" s="170"/>
      <c r="D29" s="170" t="s">
        <v>331</v>
      </c>
    </row>
    <row r="30" spans="1:4" ht="15" thickBot="1">
      <c r="A30" s="221"/>
      <c r="B30" s="170" t="s">
        <v>301</v>
      </c>
      <c r="C30" s="170"/>
      <c r="D30" s="170" t="s">
        <v>332</v>
      </c>
    </row>
    <row r="31" spans="1:4" ht="29.25" thickBot="1">
      <c r="A31" s="219" t="s">
        <v>303</v>
      </c>
      <c r="B31" s="170" t="s">
        <v>304</v>
      </c>
      <c r="C31" s="274" t="s">
        <v>305</v>
      </c>
      <c r="D31" s="170" t="s">
        <v>306</v>
      </c>
    </row>
    <row r="32" spans="1:4" ht="29.25" thickBot="1">
      <c r="A32" s="220"/>
      <c r="B32" s="170" t="s">
        <v>307</v>
      </c>
      <c r="C32" s="275"/>
      <c r="D32" s="170" t="s">
        <v>308</v>
      </c>
    </row>
    <row r="33" spans="1:4" ht="19.5" thickBot="1">
      <c r="A33" s="220"/>
      <c r="B33" s="170" t="s">
        <v>333</v>
      </c>
      <c r="C33" s="276"/>
      <c r="D33" s="170" t="s">
        <v>310</v>
      </c>
    </row>
    <row r="34" spans="1:4" ht="29.25" thickBot="1">
      <c r="A34" s="220"/>
      <c r="B34" s="170" t="s">
        <v>311</v>
      </c>
      <c r="C34" s="219" t="s">
        <v>312</v>
      </c>
      <c r="D34" s="170" t="s">
        <v>334</v>
      </c>
    </row>
    <row r="35" spans="1:4" ht="29.25" thickBot="1">
      <c r="A35" s="220"/>
      <c r="B35" s="170" t="s">
        <v>314</v>
      </c>
      <c r="C35" s="221"/>
      <c r="D35" s="170" t="s">
        <v>335</v>
      </c>
    </row>
    <row r="36" spans="1:4" ht="29.25" thickBot="1">
      <c r="A36" s="220"/>
      <c r="B36" s="170" t="s">
        <v>316</v>
      </c>
      <c r="C36" s="170" t="s">
        <v>336</v>
      </c>
      <c r="D36" s="170" t="s">
        <v>337</v>
      </c>
    </row>
    <row r="37" spans="1:4" ht="29.25" thickBot="1">
      <c r="A37" s="220"/>
      <c r="B37" s="170" t="s">
        <v>311</v>
      </c>
      <c r="C37" s="219" t="s">
        <v>319</v>
      </c>
      <c r="D37" s="170" t="s">
        <v>338</v>
      </c>
    </row>
    <row r="38" spans="1:4" ht="29.25" thickBot="1">
      <c r="A38" s="221"/>
      <c r="B38" s="170" t="s">
        <v>314</v>
      </c>
      <c r="C38" s="221"/>
      <c r="D38" s="170" t="s">
        <v>339</v>
      </c>
    </row>
    <row r="42" spans="1:4" ht="12.75">
      <c r="A42" t="s">
        <v>340</v>
      </c>
      <c r="C42">
        <v>27.6</v>
      </c>
      <c r="D42" t="s">
        <v>341</v>
      </c>
    </row>
    <row r="43" spans="1:4" ht="12.75">
      <c r="A43" t="s">
        <v>429</v>
      </c>
      <c r="C43" s="173">
        <f>C42*3600/1000000*100/Basisdaten!C5</f>
        <v>0.6806411837237978</v>
      </c>
      <c r="D43" t="s">
        <v>91</v>
      </c>
    </row>
  </sheetData>
  <mergeCells count="16">
    <mergeCell ref="D5:D6"/>
    <mergeCell ref="C7:C8"/>
    <mergeCell ref="D7:D8"/>
    <mergeCell ref="C11:C13"/>
    <mergeCell ref="C14:C15"/>
    <mergeCell ref="C17:C18"/>
    <mergeCell ref="C5:C6"/>
    <mergeCell ref="A23:A30"/>
    <mergeCell ref="C23:C25"/>
    <mergeCell ref="D23:D25"/>
    <mergeCell ref="C26:C28"/>
    <mergeCell ref="D26:D28"/>
    <mergeCell ref="A31:A38"/>
    <mergeCell ref="C31:C33"/>
    <mergeCell ref="C34:C35"/>
    <mergeCell ref="C37:C3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A1" sqref="A1:IV1"/>
    </sheetView>
  </sheetViews>
  <sheetFormatPr defaultColWidth="11.421875" defaultRowHeight="12.75"/>
  <cols>
    <col min="1" max="1" width="19.7109375" style="146" customWidth="1"/>
    <col min="2" max="2" width="45.57421875" style="146" customWidth="1"/>
    <col min="3" max="3" width="24.28125" style="146" customWidth="1"/>
    <col min="4" max="4" width="15.8515625" style="146" customWidth="1"/>
    <col min="5" max="5" width="12.8515625" style="146" customWidth="1"/>
    <col min="6" max="6" width="7.57421875" style="146" customWidth="1"/>
    <col min="7" max="7" width="6.7109375" style="146" customWidth="1"/>
    <col min="8" max="8" width="5.8515625" style="146" customWidth="1"/>
    <col min="9" max="9" width="5.57421875" style="146" bestFit="1" customWidth="1"/>
    <col min="10" max="10" width="5.28125" style="146" bestFit="1" customWidth="1"/>
    <col min="11" max="11" width="11.57421875" style="146" bestFit="1" customWidth="1"/>
    <col min="12" max="16384" width="11.421875" style="146" customWidth="1"/>
  </cols>
  <sheetData>
    <row r="1" s="141" customFormat="1" ht="18">
      <c r="A1" s="141" t="s">
        <v>427</v>
      </c>
    </row>
    <row r="3" ht="15">
      <c r="A3" s="27" t="s">
        <v>290</v>
      </c>
    </row>
    <row r="4" ht="15">
      <c r="A4" s="27"/>
    </row>
    <row r="5" spans="1:3" ht="15.75" thickBot="1">
      <c r="A5" s="27" t="s">
        <v>343</v>
      </c>
      <c r="B5"/>
      <c r="C5"/>
    </row>
    <row r="6" spans="1:3" s="8" customFormat="1" ht="29.25" thickBot="1">
      <c r="A6" s="174" t="s">
        <v>344</v>
      </c>
      <c r="B6" s="176" t="s">
        <v>346</v>
      </c>
      <c r="C6" s="176" t="s">
        <v>347</v>
      </c>
    </row>
    <row r="7" spans="1:3" ht="36" customHeight="1" thickBot="1">
      <c r="A7" s="175" t="s">
        <v>345</v>
      </c>
      <c r="B7" s="170" t="s">
        <v>348</v>
      </c>
      <c r="C7" s="170" t="s">
        <v>349</v>
      </c>
    </row>
    <row r="8" spans="1:11" ht="15.75" thickBot="1">
      <c r="A8" s="226" t="s">
        <v>350</v>
      </c>
      <c r="B8" s="227"/>
      <c r="C8" s="177">
        <v>0.45</v>
      </c>
      <c r="H8" s="159"/>
      <c r="I8" s="8"/>
      <c r="J8" s="159"/>
      <c r="K8" s="8"/>
    </row>
    <row r="9" spans="1:11" ht="15.75" thickBot="1">
      <c r="A9" s="226" t="s">
        <v>351</v>
      </c>
      <c r="B9" s="227"/>
      <c r="C9" s="177">
        <v>0.4</v>
      </c>
      <c r="H9" s="159"/>
      <c r="I9" s="8"/>
      <c r="J9" s="159"/>
      <c r="K9" s="8"/>
    </row>
    <row r="10" spans="1:11" ht="15.75" thickBot="1">
      <c r="A10" s="226" t="s">
        <v>352</v>
      </c>
      <c r="B10" s="227"/>
      <c r="C10" s="177">
        <v>0.55</v>
      </c>
      <c r="I10" s="159"/>
      <c r="J10" s="159"/>
      <c r="K10" s="159"/>
    </row>
    <row r="11" spans="1:11" ht="15.75" thickBot="1">
      <c r="A11" s="226" t="s">
        <v>353</v>
      </c>
      <c r="B11" s="227"/>
      <c r="C11" s="177">
        <v>0.3</v>
      </c>
      <c r="I11" s="159"/>
      <c r="J11" s="159"/>
      <c r="K11" s="159"/>
    </row>
    <row r="12" spans="1:11" ht="15.75" thickBot="1">
      <c r="A12" s="219" t="s">
        <v>354</v>
      </c>
      <c r="B12" s="170" t="s">
        <v>346</v>
      </c>
      <c r="C12" s="170" t="s">
        <v>355</v>
      </c>
      <c r="I12" s="159"/>
      <c r="J12" s="159"/>
      <c r="K12" s="159"/>
    </row>
    <row r="13" spans="1:11" ht="31.5" customHeight="1" thickBot="1">
      <c r="A13" s="221"/>
      <c r="B13" s="170" t="s">
        <v>348</v>
      </c>
      <c r="C13" s="170" t="s">
        <v>356</v>
      </c>
      <c r="I13" s="159"/>
      <c r="J13" s="159"/>
      <c r="K13" s="159"/>
    </row>
    <row r="14" spans="1:11" ht="15.75" thickBot="1">
      <c r="A14" s="226" t="s">
        <v>357</v>
      </c>
      <c r="B14" s="227"/>
      <c r="C14" s="177">
        <v>0.5</v>
      </c>
      <c r="I14" s="159"/>
      <c r="J14" s="159"/>
      <c r="K14" s="159"/>
    </row>
    <row r="15" spans="1:11" ht="15.75" thickBot="1">
      <c r="A15" s="226" t="s">
        <v>358</v>
      </c>
      <c r="B15" s="227"/>
      <c r="C15" s="177">
        <v>0.35</v>
      </c>
      <c r="I15" s="159"/>
      <c r="J15" s="159"/>
      <c r="K15" s="159"/>
    </row>
    <row r="16" spans="1:11" ht="15.75" thickBot="1">
      <c r="A16" s="226" t="s">
        <v>359</v>
      </c>
      <c r="B16" s="227"/>
      <c r="C16" s="177">
        <v>0.6</v>
      </c>
      <c r="I16" s="159"/>
      <c r="J16" s="159"/>
      <c r="K16" s="159"/>
    </row>
    <row r="17" spans="1:3" ht="15" thickBot="1">
      <c r="A17" s="226" t="s">
        <v>360</v>
      </c>
      <c r="B17" s="227"/>
      <c r="C17" s="177">
        <v>0.25</v>
      </c>
    </row>
    <row r="18" spans="1:3" ht="15" thickBot="1">
      <c r="A18" s="226" t="s">
        <v>361</v>
      </c>
      <c r="B18" s="227"/>
      <c r="C18" s="177">
        <v>0.85</v>
      </c>
    </row>
    <row r="19" spans="1:3" ht="15" thickBot="1">
      <c r="A19" s="226" t="s">
        <v>362</v>
      </c>
      <c r="B19" s="227"/>
      <c r="C19" s="170" t="s">
        <v>363</v>
      </c>
    </row>
    <row r="20" spans="1:4" ht="15" thickBot="1">
      <c r="A20" s="226" t="s">
        <v>364</v>
      </c>
      <c r="B20" s="227"/>
      <c r="C20" s="170" t="s">
        <v>365</v>
      </c>
      <c r="D20" s="151"/>
    </row>
    <row r="21" spans="1:4" ht="42" customHeight="1" thickBot="1">
      <c r="A21" s="226" t="s">
        <v>366</v>
      </c>
      <c r="B21" s="227"/>
      <c r="C21" s="170" t="s">
        <v>367</v>
      </c>
      <c r="D21" s="151"/>
    </row>
    <row r="23" spans="1:4" ht="30.75" customHeight="1">
      <c r="A23" s="225"/>
      <c r="B23" s="203"/>
      <c r="D23" s="151"/>
    </row>
    <row r="24" spans="1:4" ht="15.75" thickBot="1">
      <c r="A24" s="27" t="s">
        <v>368</v>
      </c>
      <c r="B24"/>
      <c r="C24"/>
      <c r="D24"/>
    </row>
    <row r="25" spans="1:4" ht="42.75">
      <c r="A25" s="165" t="s">
        <v>369</v>
      </c>
      <c r="B25" s="169" t="s">
        <v>292</v>
      </c>
      <c r="C25" s="219" t="s">
        <v>371</v>
      </c>
      <c r="D25" s="219" t="s">
        <v>372</v>
      </c>
    </row>
    <row r="26" spans="1:4" ht="29.25" thickBot="1">
      <c r="A26" s="166" t="s">
        <v>370</v>
      </c>
      <c r="B26" s="170" t="s">
        <v>293</v>
      </c>
      <c r="C26" s="221"/>
      <c r="D26" s="221"/>
    </row>
    <row r="27" spans="1:4" ht="14.25">
      <c r="A27" s="167"/>
      <c r="B27" s="171" t="s">
        <v>292</v>
      </c>
      <c r="C27" s="219" t="s">
        <v>373</v>
      </c>
      <c r="D27" s="219" t="s">
        <v>374</v>
      </c>
    </row>
    <row r="28" spans="1:4" ht="20.25" customHeight="1" thickBot="1">
      <c r="A28" s="167"/>
      <c r="B28" s="170" t="s">
        <v>296</v>
      </c>
      <c r="C28" s="221"/>
      <c r="D28" s="221"/>
    </row>
    <row r="29" spans="1:4" ht="22.5" customHeight="1" thickBot="1">
      <c r="A29" s="167"/>
      <c r="B29" s="170" t="s">
        <v>299</v>
      </c>
      <c r="C29" s="170"/>
      <c r="D29" s="170" t="s">
        <v>375</v>
      </c>
    </row>
    <row r="30" spans="1:4" ht="15" thickBot="1">
      <c r="A30" s="167"/>
      <c r="B30" s="170" t="s">
        <v>301</v>
      </c>
      <c r="C30" s="170"/>
      <c r="D30" s="170" t="s">
        <v>376</v>
      </c>
    </row>
    <row r="31" spans="1:4" ht="19.5" thickBot="1">
      <c r="A31" s="167"/>
      <c r="B31" s="170" t="s">
        <v>377</v>
      </c>
      <c r="C31" s="170" t="s">
        <v>378</v>
      </c>
      <c r="D31" s="178"/>
    </row>
    <row r="32" spans="1:4" ht="19.5" thickBot="1">
      <c r="A32" s="168"/>
      <c r="B32" s="170" t="s">
        <v>379</v>
      </c>
      <c r="C32" s="170"/>
      <c r="D32" s="170" t="s">
        <v>380</v>
      </c>
    </row>
    <row r="33" spans="1:4" ht="19.5" thickBot="1">
      <c r="A33" s="219" t="s">
        <v>303</v>
      </c>
      <c r="B33" s="170" t="s">
        <v>304</v>
      </c>
      <c r="C33" s="222" t="s">
        <v>305</v>
      </c>
      <c r="D33" s="170" t="s">
        <v>306</v>
      </c>
    </row>
    <row r="34" spans="1:4" ht="19.5" thickBot="1">
      <c r="A34" s="220"/>
      <c r="B34" s="170" t="s">
        <v>307</v>
      </c>
      <c r="C34" s="223"/>
      <c r="D34" s="170" t="s">
        <v>308</v>
      </c>
    </row>
    <row r="35" spans="1:4" ht="19.5" thickBot="1">
      <c r="A35" s="220"/>
      <c r="B35" s="170" t="s">
        <v>309</v>
      </c>
      <c r="C35" s="224"/>
      <c r="D35" s="170" t="s">
        <v>310</v>
      </c>
    </row>
    <row r="36" spans="1:4" ht="15" thickBot="1">
      <c r="A36" s="220"/>
      <c r="B36" s="170" t="s">
        <v>311</v>
      </c>
      <c r="C36" s="219" t="s">
        <v>381</v>
      </c>
      <c r="D36" s="170" t="s">
        <v>382</v>
      </c>
    </row>
    <row r="37" spans="1:4" ht="15" thickBot="1">
      <c r="A37" s="220"/>
      <c r="B37" s="170" t="s">
        <v>314</v>
      </c>
      <c r="C37" s="221"/>
      <c r="D37" s="170" t="s">
        <v>383</v>
      </c>
    </row>
    <row r="38" spans="1:4" ht="29.25" thickBot="1">
      <c r="A38" s="220"/>
      <c r="B38" s="170" t="s">
        <v>316</v>
      </c>
      <c r="C38" s="170" t="s">
        <v>317</v>
      </c>
      <c r="D38" s="170" t="s">
        <v>384</v>
      </c>
    </row>
    <row r="39" spans="1:4" ht="15" thickBot="1">
      <c r="A39" s="220"/>
      <c r="B39" s="170" t="s">
        <v>311</v>
      </c>
      <c r="C39" s="219" t="s">
        <v>319</v>
      </c>
      <c r="D39" s="170" t="s">
        <v>385</v>
      </c>
    </row>
    <row r="40" spans="1:4" ht="15" thickBot="1">
      <c r="A40" s="220"/>
      <c r="B40" s="170" t="s">
        <v>314</v>
      </c>
      <c r="C40" s="221"/>
      <c r="D40" s="170" t="s">
        <v>386</v>
      </c>
    </row>
    <row r="41" spans="1:4" ht="19.5" thickBot="1">
      <c r="A41" s="220"/>
      <c r="B41" s="219" t="s">
        <v>387</v>
      </c>
      <c r="C41" s="170">
        <v>2010</v>
      </c>
      <c r="D41" s="170" t="s">
        <v>388</v>
      </c>
    </row>
    <row r="42" spans="1:4" ht="19.5" thickBot="1">
      <c r="A42" s="220"/>
      <c r="B42" s="221"/>
      <c r="C42" s="170" t="s">
        <v>389</v>
      </c>
      <c r="D42" s="170" t="s">
        <v>390</v>
      </c>
    </row>
    <row r="43" spans="1:4" ht="18" customHeight="1">
      <c r="A43" s="220"/>
      <c r="B43" s="219" t="s">
        <v>391</v>
      </c>
      <c r="C43" s="171" t="s">
        <v>392</v>
      </c>
      <c r="D43" s="219" t="s">
        <v>394</v>
      </c>
    </row>
    <row r="44" spans="1:4" ht="15" thickBot="1">
      <c r="A44" s="220"/>
      <c r="B44" s="221"/>
      <c r="C44" s="170" t="s">
        <v>393</v>
      </c>
      <c r="D44" s="221"/>
    </row>
    <row r="45" spans="1:4" ht="15" thickBot="1">
      <c r="A45" s="220"/>
      <c r="B45" s="219" t="s">
        <v>379</v>
      </c>
      <c r="C45" s="170">
        <v>2010</v>
      </c>
      <c r="D45" s="170" t="s">
        <v>395</v>
      </c>
    </row>
    <row r="46" spans="1:4" ht="15" thickBot="1">
      <c r="A46" s="221"/>
      <c r="B46" s="221"/>
      <c r="C46" s="170">
        <v>2030</v>
      </c>
      <c r="D46" s="170" t="s">
        <v>396</v>
      </c>
    </row>
    <row r="49" spans="1:5" ht="15" thickBot="1">
      <c r="A49" s="8" t="s">
        <v>397</v>
      </c>
      <c r="B49"/>
      <c r="C49"/>
      <c r="D49"/>
      <c r="E49"/>
    </row>
    <row r="50" spans="1:6" ht="14.25">
      <c r="A50" s="222" t="s">
        <v>398</v>
      </c>
      <c r="B50" s="222" t="s">
        <v>400</v>
      </c>
      <c r="C50" s="222">
        <v>2010</v>
      </c>
      <c r="D50" s="219" t="s">
        <v>319</v>
      </c>
      <c r="E50" s="277">
        <v>38.07</v>
      </c>
      <c r="F50" s="146" t="s">
        <v>431</v>
      </c>
    </row>
    <row r="51" spans="1:6" ht="15" thickBot="1">
      <c r="A51" s="223"/>
      <c r="B51" s="223"/>
      <c r="C51" s="223"/>
      <c r="D51" s="221"/>
      <c r="E51" s="278">
        <v>40</v>
      </c>
      <c r="F51" s="146" t="s">
        <v>91</v>
      </c>
    </row>
    <row r="52" spans="1:6" ht="15" thickBot="1">
      <c r="A52" s="223"/>
      <c r="B52" s="223"/>
      <c r="C52" s="224"/>
      <c r="D52" s="170" t="s">
        <v>212</v>
      </c>
      <c r="E52" s="278">
        <v>0.96</v>
      </c>
      <c r="F52" s="146" t="s">
        <v>91</v>
      </c>
    </row>
    <row r="53" spans="1:6" ht="14.25">
      <c r="A53" s="223"/>
      <c r="B53" s="223"/>
      <c r="C53" s="222">
        <v>2030</v>
      </c>
      <c r="D53" s="219" t="s">
        <v>319</v>
      </c>
      <c r="E53" s="279">
        <v>23.37</v>
      </c>
      <c r="F53" s="146" t="s">
        <v>431</v>
      </c>
    </row>
    <row r="54" spans="1:6" ht="15" thickBot="1">
      <c r="A54" s="223"/>
      <c r="B54" s="223"/>
      <c r="C54" s="223"/>
      <c r="D54" s="221"/>
      <c r="E54" s="278">
        <v>29</v>
      </c>
      <c r="F54" s="146" t="s">
        <v>91</v>
      </c>
    </row>
    <row r="55" spans="1:6" ht="15" thickBot="1">
      <c r="A55" s="223"/>
      <c r="B55" s="224"/>
      <c r="C55" s="224"/>
      <c r="D55" s="170" t="s">
        <v>212</v>
      </c>
      <c r="E55" s="278">
        <v>0.7</v>
      </c>
      <c r="F55" s="146" t="s">
        <v>91</v>
      </c>
    </row>
    <row r="56" spans="1:6" ht="14.25">
      <c r="A56" s="223"/>
      <c r="B56" s="222" t="s">
        <v>399</v>
      </c>
      <c r="C56" s="222">
        <v>2010</v>
      </c>
      <c r="D56" s="219" t="s">
        <v>319</v>
      </c>
      <c r="E56" s="279">
        <v>22.24</v>
      </c>
      <c r="F56" s="146" t="s">
        <v>432</v>
      </c>
    </row>
    <row r="57" spans="1:6" ht="15" thickBot="1">
      <c r="A57" s="223"/>
      <c r="B57" s="223"/>
      <c r="C57" s="223"/>
      <c r="D57" s="221"/>
      <c r="E57" s="278">
        <v>-100</v>
      </c>
      <c r="F57" s="146" t="s">
        <v>91</v>
      </c>
    </row>
    <row r="58" spans="1:6" ht="15" thickBot="1">
      <c r="A58" s="223"/>
      <c r="B58" s="223"/>
      <c r="C58" s="224"/>
      <c r="D58" s="170" t="s">
        <v>212</v>
      </c>
      <c r="E58" s="278">
        <v>2.65</v>
      </c>
      <c r="F58" s="146" t="s">
        <v>91</v>
      </c>
    </row>
    <row r="59" spans="1:6" ht="14.25">
      <c r="A59" s="223"/>
      <c r="B59" s="223"/>
      <c r="C59" s="222">
        <v>2030</v>
      </c>
      <c r="D59" s="219" t="s">
        <v>319</v>
      </c>
      <c r="E59" s="279">
        <v>13.75</v>
      </c>
      <c r="F59" s="146" t="s">
        <v>432</v>
      </c>
    </row>
    <row r="60" spans="1:6" ht="15" thickBot="1">
      <c r="A60" s="223"/>
      <c r="B60" s="223"/>
      <c r="C60" s="223"/>
      <c r="D60" s="221"/>
      <c r="E60" s="278">
        <v>-100</v>
      </c>
      <c r="F60" s="146" t="s">
        <v>91</v>
      </c>
    </row>
    <row r="61" spans="1:6" ht="15" thickBot="1">
      <c r="A61" s="224"/>
      <c r="B61" s="224"/>
      <c r="C61" s="224"/>
      <c r="D61" s="170" t="s">
        <v>212</v>
      </c>
      <c r="E61" s="278">
        <v>1.92</v>
      </c>
      <c r="F61" s="146" t="s">
        <v>91</v>
      </c>
    </row>
  </sheetData>
  <mergeCells count="37">
    <mergeCell ref="D59:D60"/>
    <mergeCell ref="A50:A61"/>
    <mergeCell ref="B50:B55"/>
    <mergeCell ref="C50:C52"/>
    <mergeCell ref="D50:D51"/>
    <mergeCell ref="C53:C55"/>
    <mergeCell ref="D53:D54"/>
    <mergeCell ref="B56:B61"/>
    <mergeCell ref="C56:C58"/>
    <mergeCell ref="D56:D57"/>
    <mergeCell ref="C59:C61"/>
    <mergeCell ref="A12:A13"/>
    <mergeCell ref="A14:B14"/>
    <mergeCell ref="A15:B15"/>
    <mergeCell ref="A16:B16"/>
    <mergeCell ref="A17:B17"/>
    <mergeCell ref="A18:B18"/>
    <mergeCell ref="A19:B19"/>
    <mergeCell ref="A20:B20"/>
    <mergeCell ref="A21:B21"/>
    <mergeCell ref="D25:D26"/>
    <mergeCell ref="C27:C28"/>
    <mergeCell ref="D27:D28"/>
    <mergeCell ref="A8:B8"/>
    <mergeCell ref="A9:B9"/>
    <mergeCell ref="A10:B10"/>
    <mergeCell ref="A11:B11"/>
    <mergeCell ref="A23:B23"/>
    <mergeCell ref="D43:D44"/>
    <mergeCell ref="B45:B46"/>
    <mergeCell ref="A33:A46"/>
    <mergeCell ref="C33:C35"/>
    <mergeCell ref="C36:C37"/>
    <mergeCell ref="C39:C40"/>
    <mergeCell ref="B41:B42"/>
    <mergeCell ref="B43:B44"/>
    <mergeCell ref="C25:C26"/>
  </mergeCells>
  <printOptions/>
  <pageMargins left="0.45" right="0.21" top="1" bottom="1" header="0.4921259845" footer="0.4921259845"/>
  <pageSetup horizontalDpi="600" verticalDpi="600" orientation="landscape" paperSize="9" scale="7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"/>
    </sheetView>
  </sheetViews>
  <sheetFormatPr defaultColWidth="11.421875" defaultRowHeight="12.75"/>
  <cols>
    <col min="1" max="1" width="61.00390625" style="146" customWidth="1"/>
    <col min="2" max="16384" width="11.421875" style="146" customWidth="1"/>
  </cols>
  <sheetData>
    <row r="1" spans="1:3" ht="18">
      <c r="A1" s="141" t="s">
        <v>437</v>
      </c>
      <c r="B1" s="141"/>
      <c r="C1" s="141"/>
    </row>
    <row r="3" spans="1:3" ht="15.75">
      <c r="A3" s="74" t="s">
        <v>283</v>
      </c>
      <c r="B3" s="52"/>
      <c r="C3" s="52"/>
    </row>
    <row r="4" spans="1:3" ht="15.75">
      <c r="A4" s="74" t="s">
        <v>84</v>
      </c>
      <c r="B4" s="52"/>
      <c r="C4" s="52"/>
    </row>
    <row r="5" spans="1:3" ht="15">
      <c r="A5" s="52" t="s">
        <v>281</v>
      </c>
      <c r="B5" s="52">
        <v>9.5</v>
      </c>
      <c r="C5" s="52" t="s">
        <v>91</v>
      </c>
    </row>
    <row r="6" spans="1:14" ht="15">
      <c r="A6" s="52" t="s">
        <v>282</v>
      </c>
      <c r="B6" s="52">
        <v>33</v>
      </c>
      <c r="C6" s="52" t="s">
        <v>91</v>
      </c>
      <c r="J6" s="228"/>
      <c r="K6" s="229"/>
      <c r="L6" s="229"/>
      <c r="M6" s="229"/>
      <c r="N6" s="229"/>
    </row>
    <row r="7" spans="1:3" ht="15">
      <c r="A7" s="52"/>
      <c r="B7" s="52"/>
      <c r="C7" s="52"/>
    </row>
    <row r="8" spans="1:3" ht="15.75">
      <c r="A8" s="74" t="s">
        <v>254</v>
      </c>
      <c r="B8" s="52"/>
      <c r="C8" s="52"/>
    </row>
    <row r="9" spans="1:3" ht="15">
      <c r="A9" s="52" t="s">
        <v>285</v>
      </c>
      <c r="B9" s="55">
        <f>B5*'[1]Basisdaten'!C9/100</f>
        <v>0.21026160000000002</v>
      </c>
      <c r="C9" s="52" t="s">
        <v>50</v>
      </c>
    </row>
    <row r="10" spans="1:3" ht="15">
      <c r="A10" s="52" t="s">
        <v>282</v>
      </c>
      <c r="B10" s="55">
        <f>B9*B6/100</f>
        <v>0.06938632800000001</v>
      </c>
      <c r="C10" s="52" t="s">
        <v>50</v>
      </c>
    </row>
    <row r="11" spans="1:3" ht="15.75">
      <c r="A11" s="74" t="s">
        <v>286</v>
      </c>
      <c r="B11" s="230">
        <f>B10*100/Basisdaten!C9</f>
        <v>3.1350000000000007</v>
      </c>
      <c r="C11" s="74" t="s">
        <v>91</v>
      </c>
    </row>
    <row r="12" spans="1:3" ht="15.75">
      <c r="A12" s="74" t="s">
        <v>435</v>
      </c>
      <c r="B12" s="230">
        <f>B10*100/Basisdaten!C5</f>
        <v>0.47531393341553646</v>
      </c>
      <c r="C12" s="74" t="s">
        <v>91</v>
      </c>
    </row>
    <row r="13" spans="1:3" ht="15">
      <c r="A13" s="52"/>
      <c r="B13" s="52"/>
      <c r="C13" s="52"/>
    </row>
    <row r="14" spans="1:4" ht="15">
      <c r="A14" s="52"/>
      <c r="B14" s="52"/>
      <c r="C14" s="52"/>
      <c r="D14" s="157"/>
    </row>
    <row r="15" spans="1:4" ht="15.75">
      <c r="A15" s="74" t="s">
        <v>284</v>
      </c>
      <c r="B15" s="52"/>
      <c r="C15" s="52"/>
      <c r="D15" s="157"/>
    </row>
    <row r="16" spans="1:3" ht="15.75">
      <c r="A16" s="74" t="s">
        <v>84</v>
      </c>
      <c r="B16" s="52"/>
      <c r="C16" s="52"/>
    </row>
    <row r="17" spans="1:3" ht="15">
      <c r="A17" s="52" t="s">
        <v>289</v>
      </c>
      <c r="B17" s="52">
        <v>19</v>
      </c>
      <c r="C17" s="52" t="s">
        <v>91</v>
      </c>
    </row>
    <row r="18" spans="1:3" ht="15">
      <c r="A18" s="52" t="s">
        <v>282</v>
      </c>
      <c r="B18" s="52">
        <v>33</v>
      </c>
      <c r="C18" s="52" t="s">
        <v>91</v>
      </c>
    </row>
    <row r="19" spans="1:3" ht="15">
      <c r="A19" s="52"/>
      <c r="B19" s="52"/>
      <c r="C19" s="52"/>
    </row>
    <row r="20" spans="1:3" ht="15.75">
      <c r="A20" s="74" t="s">
        <v>254</v>
      </c>
      <c r="B20" s="52"/>
      <c r="C20" s="52"/>
    </row>
    <row r="21" spans="1:3" ht="15">
      <c r="A21" s="52" t="s">
        <v>285</v>
      </c>
      <c r="B21" s="55">
        <f>B17*'[1]Basisdaten'!C25/100</f>
        <v>11.169719999999998</v>
      </c>
      <c r="C21" s="52" t="s">
        <v>50</v>
      </c>
    </row>
    <row r="22" spans="1:3" ht="15">
      <c r="A22" s="52" t="s">
        <v>282</v>
      </c>
      <c r="B22" s="55">
        <f>B21*B18/100</f>
        <v>3.686007599999999</v>
      </c>
      <c r="C22" s="52" t="s">
        <v>50</v>
      </c>
    </row>
    <row r="23" spans="1:3" ht="15.75">
      <c r="A23" s="74" t="s">
        <v>287</v>
      </c>
      <c r="B23" s="230">
        <f>B22*100/Basisdaten!C25</f>
        <v>6.27</v>
      </c>
      <c r="C23" s="74" t="s">
        <v>91</v>
      </c>
    </row>
    <row r="24" spans="1:3" ht="15.75">
      <c r="A24" s="74" t="s">
        <v>288</v>
      </c>
      <c r="B24" s="230">
        <f>B22*100/Basisdaten!C22</f>
        <v>0.8092915293448216</v>
      </c>
      <c r="C24" s="74" t="s">
        <v>91</v>
      </c>
    </row>
    <row r="25" ht="14.25">
      <c r="B25" s="152"/>
    </row>
    <row r="26" ht="14.25">
      <c r="B26" s="151"/>
    </row>
    <row r="27" ht="14.25">
      <c r="B27" s="151"/>
    </row>
    <row r="31" ht="14.25">
      <c r="B31" s="157"/>
    </row>
    <row r="32" ht="14.25">
      <c r="B32" s="157"/>
    </row>
  </sheetData>
  <mergeCells count="1">
    <mergeCell ref="J6:N6"/>
  </mergeCells>
  <printOptions/>
  <pageMargins left="0.45" right="0.21" top="1" bottom="1" header="0.4921259845" footer="0.4921259845"/>
  <pageSetup horizontalDpi="600" verticalDpi="600" orientation="landscape" paperSize="9" scale="7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146" customWidth="1"/>
  </cols>
  <sheetData>
    <row r="1" spans="1:6" ht="18">
      <c r="A1" s="141" t="s">
        <v>436</v>
      </c>
      <c r="B1" s="141"/>
      <c r="C1" s="141"/>
      <c r="D1" s="141"/>
      <c r="E1" s="141"/>
      <c r="F1" s="141"/>
    </row>
    <row r="3" spans="1:6" ht="15.75">
      <c r="A3" s="74" t="s">
        <v>276</v>
      </c>
      <c r="B3" s="52"/>
      <c r="C3" s="52"/>
      <c r="D3" s="52"/>
      <c r="E3" s="52"/>
      <c r="F3" s="52"/>
    </row>
    <row r="4" spans="1:6" ht="15">
      <c r="A4" s="52"/>
      <c r="B4" s="52"/>
      <c r="C4" s="52"/>
      <c r="D4" s="52"/>
      <c r="E4" s="52"/>
      <c r="F4" s="52"/>
    </row>
    <row r="5" spans="1:6" ht="15">
      <c r="A5" s="52" t="s">
        <v>277</v>
      </c>
      <c r="B5" s="52"/>
      <c r="C5" s="52"/>
      <c r="D5" s="52"/>
      <c r="E5" s="52">
        <v>0.5</v>
      </c>
      <c r="F5" s="52" t="s">
        <v>91</v>
      </c>
    </row>
    <row r="6" spans="1:6" ht="15">
      <c r="A6" s="204" t="s">
        <v>280</v>
      </c>
      <c r="B6" s="206"/>
      <c r="C6" s="206"/>
      <c r="D6" s="206"/>
      <c r="E6" s="52">
        <v>510.3</v>
      </c>
      <c r="F6" s="52" t="s">
        <v>278</v>
      </c>
    </row>
    <row r="7" spans="1:6" ht="15">
      <c r="A7" s="52" t="s">
        <v>279</v>
      </c>
      <c r="B7" s="52"/>
      <c r="C7" s="52"/>
      <c r="D7" s="52"/>
      <c r="E7" s="53">
        <f>E6*E5/100</f>
        <v>2.5515</v>
      </c>
      <c r="F7" s="52" t="s">
        <v>278</v>
      </c>
    </row>
    <row r="8" spans="1:6" ht="30.75" customHeight="1">
      <c r="A8" s="52"/>
      <c r="B8" s="52"/>
      <c r="C8" s="52"/>
      <c r="D8" s="52"/>
      <c r="E8" s="52"/>
      <c r="F8" s="52"/>
    </row>
    <row r="9" spans="1:6" ht="15.75">
      <c r="A9" s="74" t="s">
        <v>286</v>
      </c>
      <c r="B9" s="74"/>
      <c r="C9" s="74"/>
      <c r="D9" s="74"/>
      <c r="E9" s="230">
        <f>E7*100/Basisdaten!C8</f>
        <v>0.41501301236174365</v>
      </c>
      <c r="F9" s="74" t="s">
        <v>91</v>
      </c>
    </row>
    <row r="10" spans="1:6" ht="15.75">
      <c r="A10" s="74" t="s">
        <v>435</v>
      </c>
      <c r="B10" s="74"/>
      <c r="C10" s="74"/>
      <c r="D10" s="74"/>
      <c r="E10" s="235">
        <f>E7*3600/1000000*100/Basisdaten!C5</f>
        <v>0.06292231812577065</v>
      </c>
      <c r="F10" s="74" t="s">
        <v>91</v>
      </c>
    </row>
    <row r="11" ht="14.25">
      <c r="E11" s="151"/>
    </row>
    <row r="12" ht="14.25">
      <c r="E12" s="152"/>
    </row>
  </sheetData>
  <mergeCells count="1">
    <mergeCell ref="A6:D6"/>
  </mergeCells>
  <printOptions/>
  <pageMargins left="0.45" right="0.21" top="1" bottom="1" header="0.4921259845" footer="0.4921259845"/>
  <pageSetup horizontalDpi="600" verticalDpi="600" orientation="landscape" paperSize="9" scale="75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"/>
    </sheetView>
  </sheetViews>
  <sheetFormatPr defaultColWidth="11.421875" defaultRowHeight="12.75"/>
  <cols>
    <col min="1" max="5" width="11.421875" style="146" customWidth="1"/>
    <col min="6" max="6" width="9.140625" style="154" customWidth="1"/>
    <col min="7" max="7" width="11.421875" style="154" customWidth="1"/>
    <col min="8" max="8" width="11.421875" style="155" customWidth="1"/>
    <col min="9" max="16384" width="11.421875" style="146" customWidth="1"/>
  </cols>
  <sheetData>
    <row r="1" spans="1:8" ht="18">
      <c r="A1" s="141" t="s">
        <v>433</v>
      </c>
      <c r="B1" s="141"/>
      <c r="C1" s="141"/>
      <c r="D1" s="141"/>
      <c r="E1" s="141"/>
      <c r="F1" s="280"/>
      <c r="G1" s="280"/>
      <c r="H1" s="281"/>
    </row>
    <row r="3" spans="1:8" ht="15.75">
      <c r="A3" s="74" t="s">
        <v>84</v>
      </c>
      <c r="B3" s="52"/>
      <c r="C3" s="52"/>
      <c r="D3" s="52"/>
      <c r="E3" s="52"/>
      <c r="F3" s="282" t="s">
        <v>104</v>
      </c>
      <c r="G3" s="282" t="s">
        <v>105</v>
      </c>
      <c r="H3" s="283"/>
    </row>
    <row r="4" spans="1:8" ht="15">
      <c r="A4" s="52" t="s">
        <v>266</v>
      </c>
      <c r="B4" s="52"/>
      <c r="C4" s="52"/>
      <c r="D4" s="52"/>
      <c r="E4" s="52"/>
      <c r="F4" s="282">
        <v>0.22</v>
      </c>
      <c r="G4" s="282">
        <v>0.41</v>
      </c>
      <c r="H4" s="283" t="s">
        <v>267</v>
      </c>
    </row>
    <row r="5" spans="1:8" ht="15">
      <c r="A5" s="52" t="s">
        <v>268</v>
      </c>
      <c r="B5" s="52"/>
      <c r="C5" s="52"/>
      <c r="D5" s="52"/>
      <c r="E5" s="52"/>
      <c r="F5" s="282"/>
      <c r="G5" s="282">
        <v>716</v>
      </c>
      <c r="H5" s="283" t="s">
        <v>269</v>
      </c>
    </row>
    <row r="6" spans="1:8" ht="15">
      <c r="A6" s="52" t="s">
        <v>270</v>
      </c>
      <c r="B6" s="52"/>
      <c r="C6" s="52"/>
      <c r="D6" s="52"/>
      <c r="E6" s="52"/>
      <c r="F6" s="282"/>
      <c r="G6" s="282">
        <v>9.3</v>
      </c>
      <c r="H6" s="283" t="s">
        <v>271</v>
      </c>
    </row>
    <row r="7" spans="1:8" ht="15">
      <c r="A7" s="52"/>
      <c r="B7" s="52"/>
      <c r="C7" s="52"/>
      <c r="D7" s="52"/>
      <c r="E7" s="52"/>
      <c r="F7" s="282"/>
      <c r="G7" s="282"/>
      <c r="H7" s="283"/>
    </row>
    <row r="8" spans="1:8" ht="15.75">
      <c r="A8" s="74" t="s">
        <v>254</v>
      </c>
      <c r="B8" s="52"/>
      <c r="C8" s="52"/>
      <c r="D8" s="52"/>
      <c r="E8" s="52"/>
      <c r="F8" s="282"/>
      <c r="G8" s="282"/>
      <c r="H8" s="283"/>
    </row>
    <row r="9" spans="1:8" ht="15">
      <c r="A9" s="52" t="s">
        <v>272</v>
      </c>
      <c r="B9" s="52"/>
      <c r="C9" s="52"/>
      <c r="D9" s="52"/>
      <c r="E9" s="52"/>
      <c r="F9" s="284">
        <f>$G$5*1000000000*F4/(100*1000000000)</f>
        <v>1.5752</v>
      </c>
      <c r="G9" s="284">
        <f>$G$5*1000000000*G4/(100*1000000000)</f>
        <v>2.9356</v>
      </c>
      <c r="H9" s="283" t="s">
        <v>273</v>
      </c>
    </row>
    <row r="10" spans="1:8" ht="15">
      <c r="A10" s="52" t="s">
        <v>274</v>
      </c>
      <c r="B10" s="52"/>
      <c r="C10" s="52"/>
      <c r="D10" s="52"/>
      <c r="E10" s="52"/>
      <c r="F10" s="285">
        <f>F9*1000000000*$G$6*3600/1000000000000000</f>
        <v>0.05273769600000001</v>
      </c>
      <c r="G10" s="285">
        <f>G9*1000000000*$G$6*3600/1000000000000000</f>
        <v>0.09828388800000001</v>
      </c>
      <c r="H10" s="283" t="s">
        <v>50</v>
      </c>
    </row>
    <row r="11" spans="1:8" ht="15.75">
      <c r="A11" s="74" t="s">
        <v>434</v>
      </c>
      <c r="B11" s="74"/>
      <c r="C11" s="74"/>
      <c r="D11" s="74"/>
      <c r="E11" s="74"/>
      <c r="F11" s="286">
        <f>F10*100/Basisdaten!$C$11</f>
        <v>2.164930049261084</v>
      </c>
      <c r="G11" s="286">
        <f>G10*100/Basisdaten!$C$11</f>
        <v>4.03464236453202</v>
      </c>
      <c r="H11" s="251" t="s">
        <v>91</v>
      </c>
    </row>
    <row r="12" spans="1:8" ht="15.75">
      <c r="A12" s="74" t="s">
        <v>435</v>
      </c>
      <c r="B12" s="74"/>
      <c r="C12" s="74"/>
      <c r="D12" s="74"/>
      <c r="E12" s="74"/>
      <c r="F12" s="286">
        <f>F10*100/Basisdaten!$C$5</f>
        <v>0.3612665844636252</v>
      </c>
      <c r="G12" s="286">
        <f>G10*100/Basisdaten!$C$5</f>
        <v>0.6732695437731196</v>
      </c>
      <c r="H12" s="251" t="s">
        <v>91</v>
      </c>
    </row>
  </sheetData>
  <printOptions/>
  <pageMargins left="0.45" right="0.21" top="1" bottom="1" header="0.4921259845" footer="0.4921259845"/>
  <pageSetup horizontalDpi="600" verticalDpi="600" orientation="landscape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J22" sqref="J22"/>
    </sheetView>
  </sheetViews>
  <sheetFormatPr defaultColWidth="11.421875" defaultRowHeight="12.75"/>
  <cols>
    <col min="1" max="1" width="28.28125" style="0" customWidth="1"/>
    <col min="2" max="2" width="7.8515625" style="1" customWidth="1"/>
    <col min="3" max="3" width="9.00390625" style="0" customWidth="1"/>
    <col min="4" max="4" width="11.7109375" style="0" bestFit="1" customWidth="1"/>
    <col min="5" max="5" width="41.28125" style="0" customWidth="1"/>
    <col min="6" max="6" width="10.8515625" style="0" customWidth="1"/>
    <col min="7" max="7" width="16.00390625" style="0" customWidth="1"/>
  </cols>
  <sheetData>
    <row r="1" spans="1:5" ht="14.25">
      <c r="A1" s="8"/>
      <c r="B1" s="9"/>
      <c r="C1" s="8"/>
      <c r="D1" s="8"/>
      <c r="E1" s="8"/>
    </row>
    <row r="2" spans="1:5" ht="14.25">
      <c r="A2" s="8"/>
      <c r="B2" s="9"/>
      <c r="C2" s="8"/>
      <c r="D2" s="8"/>
      <c r="E2" s="8"/>
    </row>
    <row r="3" spans="1:5" ht="18">
      <c r="A3" s="186" t="s">
        <v>43</v>
      </c>
      <c r="B3" s="187"/>
      <c r="C3" s="187"/>
      <c r="D3" s="187"/>
      <c r="E3" s="187"/>
    </row>
    <row r="4" spans="1:5" s="13" customFormat="1" ht="15">
      <c r="A4" s="10" t="s">
        <v>44</v>
      </c>
      <c r="B4" s="11" t="s">
        <v>45</v>
      </c>
      <c r="C4" s="12" t="s">
        <v>46</v>
      </c>
      <c r="D4" s="10" t="s">
        <v>47</v>
      </c>
      <c r="E4" s="10" t="s">
        <v>48</v>
      </c>
    </row>
    <row r="5" spans="1:5" ht="14.25">
      <c r="A5" s="14" t="s">
        <v>49</v>
      </c>
      <c r="B5" s="15">
        <v>2006</v>
      </c>
      <c r="C5" s="16">
        <v>14.598</v>
      </c>
      <c r="D5" s="14" t="s">
        <v>50</v>
      </c>
      <c r="E5" s="14" t="s">
        <v>51</v>
      </c>
    </row>
    <row r="6" spans="1:5" ht="14.25">
      <c r="A6" s="14" t="s">
        <v>52</v>
      </c>
      <c r="B6" s="15">
        <v>2006</v>
      </c>
      <c r="C6" s="16">
        <v>5.513</v>
      </c>
      <c r="D6" s="14" t="s">
        <v>50</v>
      </c>
      <c r="E6" s="14" t="s">
        <v>51</v>
      </c>
    </row>
    <row r="7" spans="1:5" ht="14.25">
      <c r="A7" s="14" t="s">
        <v>53</v>
      </c>
      <c r="B7" s="15">
        <v>2006</v>
      </c>
      <c r="C7" s="16">
        <v>9.423</v>
      </c>
      <c r="D7" s="14" t="s">
        <v>50</v>
      </c>
      <c r="E7" s="14" t="s">
        <v>51</v>
      </c>
    </row>
    <row r="8" spans="1:5" ht="14.25">
      <c r="A8" s="17" t="s">
        <v>54</v>
      </c>
      <c r="B8" s="15">
        <v>2006</v>
      </c>
      <c r="C8" s="18">
        <v>614.8</v>
      </c>
      <c r="D8" s="14" t="s">
        <v>55</v>
      </c>
      <c r="E8" s="14" t="s">
        <v>51</v>
      </c>
    </row>
    <row r="9" spans="1:5" ht="14.25">
      <c r="A9" s="14"/>
      <c r="B9" s="17" t="s">
        <v>56</v>
      </c>
      <c r="C9" s="16">
        <f>C8*3600/1000000</f>
        <v>2.21328</v>
      </c>
      <c r="D9" s="14" t="s">
        <v>50</v>
      </c>
      <c r="E9" s="14"/>
    </row>
    <row r="10" spans="1:5" ht="14.25">
      <c r="A10" s="17" t="s">
        <v>57</v>
      </c>
      <c r="B10" s="17"/>
      <c r="C10" s="19">
        <f>C9/C6</f>
        <v>0.40146562670052605</v>
      </c>
      <c r="D10" s="14"/>
      <c r="E10" s="14" t="s">
        <v>58</v>
      </c>
    </row>
    <row r="11" spans="1:5" ht="14.25">
      <c r="A11" s="17" t="s">
        <v>59</v>
      </c>
      <c r="B11" s="15">
        <v>2006</v>
      </c>
      <c r="C11" s="16">
        <v>2.436</v>
      </c>
      <c r="D11" s="14" t="s">
        <v>50</v>
      </c>
      <c r="E11" s="14" t="s">
        <v>51</v>
      </c>
    </row>
    <row r="12" spans="1:5" ht="14.25">
      <c r="A12" s="14"/>
      <c r="B12" s="17" t="s">
        <v>56</v>
      </c>
      <c r="C12" s="16">
        <f>C11*1000000000000000000/41868/1000000/1000000</f>
        <v>58.182860418458006</v>
      </c>
      <c r="D12" s="14" t="s">
        <v>60</v>
      </c>
      <c r="E12" s="14"/>
    </row>
    <row r="13" spans="1:5" ht="14.25">
      <c r="A13" s="17" t="s">
        <v>61</v>
      </c>
      <c r="B13" s="15">
        <v>2006</v>
      </c>
      <c r="C13" s="14">
        <v>4.773</v>
      </c>
      <c r="D13" s="14" t="s">
        <v>50</v>
      </c>
      <c r="E13" s="14" t="s">
        <v>58</v>
      </c>
    </row>
    <row r="14" spans="1:5" ht="14.25">
      <c r="A14" s="17"/>
      <c r="B14" s="15"/>
      <c r="C14" s="14"/>
      <c r="D14" s="14"/>
      <c r="E14" s="14"/>
    </row>
    <row r="15" spans="1:5" ht="16.5">
      <c r="A15" s="14" t="s">
        <v>62</v>
      </c>
      <c r="B15" s="15"/>
      <c r="C15" s="20">
        <v>1000</v>
      </c>
      <c r="D15" s="14" t="s">
        <v>131</v>
      </c>
      <c r="E15" s="14" t="s">
        <v>63</v>
      </c>
    </row>
    <row r="16" spans="1:5" ht="14.25">
      <c r="A16" s="17"/>
      <c r="B16" s="15"/>
      <c r="C16" s="14"/>
      <c r="D16" s="14"/>
      <c r="E16" s="14"/>
    </row>
    <row r="17" spans="1:5" ht="16.5">
      <c r="A17" s="21" t="s">
        <v>64</v>
      </c>
      <c r="B17" s="15"/>
      <c r="C17" s="20">
        <v>357049</v>
      </c>
      <c r="D17" s="14" t="s">
        <v>132</v>
      </c>
      <c r="E17" s="14" t="s">
        <v>65</v>
      </c>
    </row>
    <row r="18" spans="1:5" ht="16.5">
      <c r="A18" s="21" t="s">
        <v>66</v>
      </c>
      <c r="B18" s="15"/>
      <c r="C18" s="20">
        <v>23938</v>
      </c>
      <c r="D18" s="14" t="s">
        <v>132</v>
      </c>
      <c r="E18" s="14" t="s">
        <v>65</v>
      </c>
    </row>
    <row r="19" spans="1:5" ht="16.5">
      <c r="A19" s="21" t="s">
        <v>67</v>
      </c>
      <c r="B19" s="15"/>
      <c r="C19" s="20">
        <v>17446</v>
      </c>
      <c r="D19" s="14" t="s">
        <v>132</v>
      </c>
      <c r="E19" s="14" t="s">
        <v>65</v>
      </c>
    </row>
    <row r="20" spans="1:5" ht="16.5">
      <c r="A20" s="21" t="s">
        <v>68</v>
      </c>
      <c r="B20" s="15"/>
      <c r="C20" s="20">
        <v>189324</v>
      </c>
      <c r="D20" s="14" t="s">
        <v>132</v>
      </c>
      <c r="E20" s="14" t="s">
        <v>65</v>
      </c>
    </row>
    <row r="21" spans="1:5" ht="14.25">
      <c r="A21" s="17"/>
      <c r="B21" s="15"/>
      <c r="C21" s="14"/>
      <c r="D21" s="14"/>
      <c r="E21" s="14"/>
    </row>
    <row r="22" spans="1:5" ht="14.25">
      <c r="A22" s="14" t="s">
        <v>69</v>
      </c>
      <c r="B22" s="15">
        <v>2006</v>
      </c>
      <c r="C22" s="18">
        <v>455.46103800000003</v>
      </c>
      <c r="D22" s="14" t="s">
        <v>50</v>
      </c>
      <c r="E22" s="14" t="s">
        <v>70</v>
      </c>
    </row>
    <row r="23" spans="1:5" ht="14.25">
      <c r="A23" s="14" t="s">
        <v>71</v>
      </c>
      <c r="B23" s="15">
        <v>2004</v>
      </c>
      <c r="C23" s="14">
        <v>16.33</v>
      </c>
      <c r="D23" s="14" t="s">
        <v>72</v>
      </c>
      <c r="E23" s="14" t="s">
        <v>73</v>
      </c>
    </row>
    <row r="24" spans="1:5" ht="14.25">
      <c r="A24" s="14"/>
      <c r="B24" s="17" t="s">
        <v>56</v>
      </c>
      <c r="C24" s="20">
        <v>16330</v>
      </c>
      <c r="D24" s="14" t="s">
        <v>55</v>
      </c>
      <c r="E24" s="14"/>
    </row>
    <row r="25" spans="1:5" ht="14.25">
      <c r="A25" s="14"/>
      <c r="B25" s="17" t="s">
        <v>56</v>
      </c>
      <c r="C25" s="16">
        <f>C23*1000000000000000*3600/1000000000000000000</f>
        <v>58.78799999999999</v>
      </c>
      <c r="D25" s="14" t="s">
        <v>50</v>
      </c>
      <c r="E25" s="14"/>
    </row>
    <row r="26" spans="1:5" ht="14.25">
      <c r="A26" s="14" t="s">
        <v>74</v>
      </c>
      <c r="B26" s="15">
        <v>2006</v>
      </c>
      <c r="C26" s="16">
        <v>100</v>
      </c>
      <c r="D26" s="14" t="s">
        <v>50</v>
      </c>
      <c r="E26" s="14" t="s">
        <v>75</v>
      </c>
    </row>
    <row r="27" spans="1:5" ht="16.5">
      <c r="A27" s="14" t="s">
        <v>76</v>
      </c>
      <c r="B27" s="17"/>
      <c r="C27" s="22">
        <v>510.06</v>
      </c>
      <c r="D27" s="14" t="s">
        <v>133</v>
      </c>
      <c r="E27" s="14" t="s">
        <v>77</v>
      </c>
    </row>
    <row r="28" spans="1:5" ht="16.5">
      <c r="A28" s="17" t="s">
        <v>78</v>
      </c>
      <c r="B28" s="17"/>
      <c r="C28" s="22">
        <v>149</v>
      </c>
      <c r="D28" s="14" t="s">
        <v>133</v>
      </c>
      <c r="E28" s="14" t="s">
        <v>77</v>
      </c>
    </row>
    <row r="29" spans="1:5" ht="16.5">
      <c r="A29" s="17" t="s">
        <v>79</v>
      </c>
      <c r="B29" s="17"/>
      <c r="C29" s="22">
        <v>14.02</v>
      </c>
      <c r="D29" s="14" t="s">
        <v>133</v>
      </c>
      <c r="E29" s="14" t="s">
        <v>80</v>
      </c>
    </row>
    <row r="30" spans="1:5" ht="16.5">
      <c r="A30" s="17" t="s">
        <v>81</v>
      </c>
      <c r="B30" s="17"/>
      <c r="C30" s="22">
        <v>34.33</v>
      </c>
      <c r="D30" s="14" t="s">
        <v>133</v>
      </c>
      <c r="E30" s="14" t="s">
        <v>80</v>
      </c>
    </row>
    <row r="31" spans="1:5" ht="16.5">
      <c r="A31" s="17" t="s">
        <v>82</v>
      </c>
      <c r="B31" s="15"/>
      <c r="C31" s="22">
        <v>39.52</v>
      </c>
      <c r="D31" s="14" t="s">
        <v>133</v>
      </c>
      <c r="E31" s="14" t="s">
        <v>80</v>
      </c>
    </row>
    <row r="32" spans="1:5" ht="14.25">
      <c r="A32" s="23" t="s">
        <v>83</v>
      </c>
      <c r="B32" s="6"/>
      <c r="C32" s="6">
        <v>33.3</v>
      </c>
      <c r="D32" s="6" t="s">
        <v>134</v>
      </c>
      <c r="E32" s="6"/>
    </row>
    <row r="33" ht="12.75">
      <c r="B33"/>
    </row>
    <row r="34" ht="12.75">
      <c r="B34"/>
    </row>
    <row r="35" spans="1:5" ht="12.75">
      <c r="A35" s="24"/>
      <c r="B35" s="25"/>
      <c r="C35" s="25"/>
      <c r="D35" s="25"/>
      <c r="E35" s="25"/>
    </row>
    <row r="36" spans="1:5" ht="12.75">
      <c r="A36" s="24"/>
      <c r="B36" s="25"/>
      <c r="C36" s="25"/>
      <c r="D36" s="25"/>
      <c r="E36" s="25"/>
    </row>
    <row r="37" spans="1:5" ht="12.75">
      <c r="A37" s="24"/>
      <c r="B37" s="25"/>
      <c r="C37" s="25"/>
      <c r="D37" s="25"/>
      <c r="E37" s="25"/>
    </row>
    <row r="38" spans="1:5" ht="12.75">
      <c r="A38" s="24"/>
      <c r="B38" s="25"/>
      <c r="C38" s="25"/>
      <c r="D38" s="25"/>
      <c r="E38" s="25"/>
    </row>
    <row r="39" spans="1:4" ht="12.75">
      <c r="A39" s="26"/>
      <c r="B39" s="26"/>
      <c r="C39" s="26"/>
      <c r="D39" s="26"/>
    </row>
    <row r="40" spans="1:4" ht="12.75">
      <c r="A40" s="25"/>
      <c r="B40" s="25"/>
      <c r="C40" s="25"/>
      <c r="D40" s="25"/>
    </row>
    <row r="41" spans="1:4" ht="12.75">
      <c r="A41" s="25"/>
      <c r="B41" s="25"/>
      <c r="C41" s="25"/>
      <c r="D41" s="25"/>
    </row>
    <row r="42" spans="1:4" ht="12.75">
      <c r="A42" s="25"/>
      <c r="B42" s="25"/>
      <c r="C42" s="25"/>
      <c r="D42" s="25"/>
    </row>
    <row r="43" spans="1:4" ht="12.75">
      <c r="A43" s="25"/>
      <c r="B43" s="25"/>
      <c r="C43" s="25"/>
      <c r="D43" s="25"/>
    </row>
    <row r="44" spans="1:4" ht="12.75">
      <c r="A44" s="25"/>
      <c r="B44" s="25"/>
      <c r="C44" s="25"/>
      <c r="D44" s="25"/>
    </row>
    <row r="45" spans="1:4" ht="12.75">
      <c r="A45" s="25"/>
      <c r="B45" s="25"/>
      <c r="C45" s="25"/>
      <c r="D45" s="25"/>
    </row>
    <row r="46" spans="1:4" ht="12.75">
      <c r="A46" s="25"/>
      <c r="B46" s="25"/>
      <c r="C46" s="25"/>
      <c r="D46" s="25"/>
    </row>
  </sheetData>
  <mergeCells count="1">
    <mergeCell ref="A3:E3"/>
  </mergeCells>
  <printOptions/>
  <pageMargins left="0.45" right="0.21" top="1" bottom="1" header="0.4921259845" footer="0.4921259845"/>
  <pageSetup horizontalDpi="600" verticalDpi="600" orientation="landscape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11.421875" defaultRowHeight="12.75"/>
  <cols>
    <col min="6" max="6" width="10.8515625" style="0" customWidth="1"/>
    <col min="7" max="7" width="16.00390625" style="0" customWidth="1"/>
  </cols>
  <sheetData>
    <row r="1" s="141" customFormat="1" ht="18">
      <c r="A1" s="141" t="s">
        <v>407</v>
      </c>
    </row>
    <row r="3" ht="15.75">
      <c r="A3" s="74" t="s">
        <v>84</v>
      </c>
    </row>
    <row r="4" spans="1:6" ht="29.25" customHeight="1">
      <c r="A4" s="207" t="s">
        <v>259</v>
      </c>
      <c r="B4" s="203"/>
      <c r="C4" s="203"/>
      <c r="D4" s="203"/>
      <c r="E4" s="8">
        <v>200</v>
      </c>
      <c r="F4" s="8" t="s">
        <v>258</v>
      </c>
    </row>
    <row r="5" spans="1:6" ht="14.25">
      <c r="A5" s="8" t="s">
        <v>260</v>
      </c>
      <c r="B5" s="8"/>
      <c r="C5" s="8"/>
      <c r="D5" s="8"/>
      <c r="E5" s="8">
        <v>500</v>
      </c>
      <c r="F5" s="8" t="s">
        <v>258</v>
      </c>
    </row>
    <row r="6" spans="1:7" ht="14.25">
      <c r="A6" s="8" t="s">
        <v>261</v>
      </c>
      <c r="B6" s="8"/>
      <c r="C6" s="8"/>
      <c r="D6" s="8"/>
      <c r="E6" s="148">
        <v>50</v>
      </c>
      <c r="F6" s="8" t="s">
        <v>91</v>
      </c>
      <c r="G6" s="8"/>
    </row>
    <row r="7" spans="1:7" ht="14.25">
      <c r="A7" s="8"/>
      <c r="B7" s="8"/>
      <c r="C7" s="8"/>
      <c r="D7" s="8"/>
      <c r="E7" s="8"/>
      <c r="F7" s="8"/>
      <c r="G7" s="8"/>
    </row>
    <row r="8" spans="1:7" ht="15.75">
      <c r="A8" s="74" t="s">
        <v>254</v>
      </c>
      <c r="B8" s="8"/>
      <c r="C8" s="8"/>
      <c r="D8" s="8"/>
      <c r="E8" s="8"/>
      <c r="F8" s="8"/>
      <c r="G8" s="8"/>
    </row>
    <row r="9" spans="1:7" ht="28.5" customHeight="1">
      <c r="A9" s="207" t="s">
        <v>262</v>
      </c>
      <c r="B9" s="207"/>
      <c r="C9" s="207"/>
      <c r="D9" s="207"/>
      <c r="E9" s="8">
        <f>E4+E5</f>
        <v>700</v>
      </c>
      <c r="F9" s="8" t="s">
        <v>258</v>
      </c>
      <c r="G9" s="8"/>
    </row>
    <row r="10" spans="1:7" ht="14.25">
      <c r="A10" s="207" t="s">
        <v>263</v>
      </c>
      <c r="B10" s="207"/>
      <c r="C10" s="207"/>
      <c r="D10" s="207"/>
      <c r="E10" s="8">
        <f>E9*E6/100</f>
        <v>350</v>
      </c>
      <c r="F10" s="8" t="s">
        <v>258</v>
      </c>
      <c r="G10" s="8"/>
    </row>
    <row r="11" spans="1:7" ht="14.25">
      <c r="A11" s="8" t="s">
        <v>264</v>
      </c>
      <c r="B11" s="8"/>
      <c r="C11" s="8"/>
      <c r="D11" s="8"/>
      <c r="E11" s="8">
        <f>E10/1000*41.8</f>
        <v>14.629999999999997</v>
      </c>
      <c r="F11" s="8" t="s">
        <v>50</v>
      </c>
      <c r="G11" s="8"/>
    </row>
    <row r="12" spans="1:7" ht="30" customHeight="1">
      <c r="A12" s="188" t="s">
        <v>405</v>
      </c>
      <c r="B12" s="203"/>
      <c r="C12" s="203"/>
      <c r="D12" s="203"/>
      <c r="E12" s="43">
        <f>E11*100/Basisdaten!C26</f>
        <v>14.629999999999997</v>
      </c>
      <c r="F12" s="27" t="s">
        <v>91</v>
      </c>
      <c r="G12" s="8"/>
    </row>
    <row r="13" spans="1:7" ht="30.75" customHeight="1">
      <c r="A13" s="188" t="s">
        <v>406</v>
      </c>
      <c r="B13" s="203"/>
      <c r="C13" s="203"/>
      <c r="D13" s="203"/>
      <c r="E13" s="43">
        <f>E11*100/Basisdaten!C22</f>
        <v>3.2121298595029324</v>
      </c>
      <c r="F13" s="27" t="s">
        <v>91</v>
      </c>
      <c r="G13" s="8"/>
    </row>
    <row r="14" spans="1:7" ht="14.25">
      <c r="A14" s="8"/>
      <c r="B14" s="8"/>
      <c r="C14" s="8"/>
      <c r="D14" s="8"/>
      <c r="E14" s="8"/>
      <c r="F14" s="8"/>
      <c r="G14" s="8"/>
    </row>
    <row r="15" spans="1:7" ht="14.25">
      <c r="A15" s="8"/>
      <c r="B15" s="8"/>
      <c r="C15" s="8"/>
      <c r="D15" s="8"/>
      <c r="E15" s="8"/>
      <c r="F15" s="8"/>
      <c r="G15" s="8"/>
    </row>
    <row r="16" spans="1:7" ht="14.25">
      <c r="A16" s="8"/>
      <c r="B16" s="8"/>
      <c r="C16" s="8"/>
      <c r="D16" s="8"/>
      <c r="E16" s="8"/>
      <c r="F16" s="8"/>
      <c r="G16" s="8"/>
    </row>
    <row r="17" spans="1:7" ht="14.25">
      <c r="A17" s="8"/>
      <c r="B17" s="8"/>
      <c r="C17" s="8"/>
      <c r="D17" s="8"/>
      <c r="E17" s="8"/>
      <c r="F17" s="8"/>
      <c r="G17" s="8"/>
    </row>
    <row r="18" spans="1:7" ht="14.25">
      <c r="A18" s="8"/>
      <c r="B18" s="8"/>
      <c r="C18" s="8"/>
      <c r="D18" s="8"/>
      <c r="E18" s="8"/>
      <c r="F18" s="8"/>
      <c r="G18" s="8"/>
    </row>
    <row r="19" spans="1:7" ht="14.25">
      <c r="A19" s="8"/>
      <c r="B19" s="8"/>
      <c r="C19" s="8"/>
      <c r="D19" s="8"/>
      <c r="E19" s="8"/>
      <c r="F19" s="8"/>
      <c r="G19" s="8"/>
    </row>
    <row r="20" spans="1:7" ht="14.25">
      <c r="A20" s="8"/>
      <c r="B20" s="8"/>
      <c r="C20" s="8"/>
      <c r="D20" s="8"/>
      <c r="E20" s="8"/>
      <c r="F20" s="8"/>
      <c r="G20" s="8"/>
    </row>
    <row r="21" spans="1:7" ht="14.25">
      <c r="A21" s="8"/>
      <c r="B21" s="8"/>
      <c r="C21" s="8"/>
      <c r="D21" s="8"/>
      <c r="E21" s="8"/>
      <c r="F21" s="8"/>
      <c r="G21" s="8"/>
    </row>
    <row r="22" spans="1:7" ht="14.25">
      <c r="A22" s="8"/>
      <c r="B22" s="8"/>
      <c r="C22" s="8"/>
      <c r="D22" s="8"/>
      <c r="E22" s="8"/>
      <c r="F22" s="8"/>
      <c r="G22" s="8"/>
    </row>
    <row r="23" spans="1:7" ht="14.25">
      <c r="A23" s="8"/>
      <c r="B23" s="8"/>
      <c r="C23" s="8"/>
      <c r="D23" s="8"/>
      <c r="E23" s="8"/>
      <c r="F23" s="8"/>
      <c r="G23" s="8"/>
    </row>
    <row r="24" spans="1:7" ht="14.25">
      <c r="A24" s="8"/>
      <c r="B24" s="8"/>
      <c r="C24" s="8"/>
      <c r="D24" s="8"/>
      <c r="E24" s="8"/>
      <c r="F24" s="8"/>
      <c r="G24" s="8"/>
    </row>
    <row r="25" spans="1:7" ht="14.25">
      <c r="A25" s="8"/>
      <c r="B25" s="8"/>
      <c r="C25" s="8"/>
      <c r="D25" s="8"/>
      <c r="E25" s="8"/>
      <c r="F25" s="8"/>
      <c r="G25" s="8"/>
    </row>
    <row r="26" spans="1:7" ht="14.25">
      <c r="A26" s="8"/>
      <c r="B26" s="8"/>
      <c r="C26" s="8"/>
      <c r="D26" s="8"/>
      <c r="E26" s="8"/>
      <c r="F26" s="8"/>
      <c r="G26" s="8"/>
    </row>
    <row r="27" spans="1:7" ht="14.25">
      <c r="A27" s="8"/>
      <c r="B27" s="8"/>
      <c r="C27" s="8"/>
      <c r="D27" s="8"/>
      <c r="E27" s="8"/>
      <c r="F27" s="8"/>
      <c r="G27" s="8"/>
    </row>
    <row r="28" spans="1:7" ht="14.25">
      <c r="A28" s="8"/>
      <c r="B28" s="8"/>
      <c r="C28" s="8"/>
      <c r="D28" s="8"/>
      <c r="E28" s="8"/>
      <c r="F28" s="8"/>
      <c r="G28" s="8"/>
    </row>
    <row r="29" spans="1:7" ht="14.25">
      <c r="A29" s="8"/>
      <c r="B29" s="8"/>
      <c r="C29" s="8"/>
      <c r="D29" s="8"/>
      <c r="E29" s="8"/>
      <c r="F29" s="8"/>
      <c r="G29" s="8"/>
    </row>
  </sheetData>
  <mergeCells count="5">
    <mergeCell ref="A13:D13"/>
    <mergeCell ref="A4:D4"/>
    <mergeCell ref="A9:D9"/>
    <mergeCell ref="A10:D10"/>
    <mergeCell ref="A12:D12"/>
  </mergeCells>
  <printOptions/>
  <pageMargins left="0.45" right="0.21" top="1" bottom="1" header="0.4921259845" footer="0.4921259845"/>
  <pageSetup horizontalDpi="600" verticalDpi="600" orientation="landscape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A1" sqref="A1"/>
    </sheetView>
  </sheetViews>
  <sheetFormatPr defaultColWidth="11.421875" defaultRowHeight="12.75"/>
  <cols>
    <col min="1" max="4" width="11.421875" style="28" customWidth="1"/>
    <col min="5" max="5" width="14.421875" style="29" customWidth="1"/>
    <col min="6" max="6" width="10.8515625" style="30" customWidth="1"/>
    <col min="7" max="7" width="16.00390625" style="28" customWidth="1"/>
    <col min="8" max="8" width="14.00390625" style="28" bestFit="1" customWidth="1"/>
    <col min="9" max="9" width="5.140625" style="28" bestFit="1" customWidth="1"/>
    <col min="10" max="16384" width="11.421875" style="28" customWidth="1"/>
  </cols>
  <sheetData>
    <row r="1" spans="1:6" s="231" customFormat="1" ht="18">
      <c r="A1" s="231" t="s">
        <v>408</v>
      </c>
      <c r="E1" s="232"/>
      <c r="F1" s="233"/>
    </row>
    <row r="3" ht="15.75">
      <c r="A3" s="74" t="s">
        <v>402</v>
      </c>
    </row>
    <row r="4" spans="1:7" ht="15.75">
      <c r="A4" s="230" t="s">
        <v>84</v>
      </c>
      <c r="B4" s="31"/>
      <c r="C4" s="31"/>
      <c r="D4" s="31"/>
      <c r="E4" s="32"/>
      <c r="F4" s="33"/>
      <c r="G4" s="31"/>
    </row>
    <row r="5" spans="1:8" ht="14.25">
      <c r="A5" s="28" t="s">
        <v>85</v>
      </c>
      <c r="C5" s="31"/>
      <c r="D5" s="31"/>
      <c r="F5" s="32">
        <v>2927</v>
      </c>
      <c r="G5" s="34" t="s">
        <v>86</v>
      </c>
      <c r="H5" s="31"/>
    </row>
    <row r="6" spans="1:8" ht="14.25">
      <c r="A6" s="28" t="s">
        <v>87</v>
      </c>
      <c r="C6" s="31"/>
      <c r="D6" s="33"/>
      <c r="F6" s="32">
        <f>F5*1000000000*0.758/1000000000</f>
        <v>2218.666</v>
      </c>
      <c r="G6" s="34" t="s">
        <v>60</v>
      </c>
      <c r="H6" s="34"/>
    </row>
    <row r="7" spans="1:8" ht="15">
      <c r="A7" s="28" t="s">
        <v>88</v>
      </c>
      <c r="C7" s="31"/>
      <c r="D7" s="31"/>
      <c r="F7" s="35">
        <f>F5*31736*1000000000/1000000000000000</f>
        <v>92.891272</v>
      </c>
      <c r="G7" s="34" t="s">
        <v>50</v>
      </c>
      <c r="H7" s="31"/>
    </row>
    <row r="8" spans="3:8" ht="14.25">
      <c r="C8" s="31"/>
      <c r="D8" s="31"/>
      <c r="F8" s="32"/>
      <c r="G8" s="34"/>
      <c r="H8" s="31"/>
    </row>
    <row r="9" spans="1:8" ht="14.25">
      <c r="A9" s="28" t="s">
        <v>89</v>
      </c>
      <c r="C9" s="31"/>
      <c r="D9" s="33"/>
      <c r="F9" s="32" t="s">
        <v>90</v>
      </c>
      <c r="G9" s="34" t="s">
        <v>91</v>
      </c>
      <c r="H9" s="34"/>
    </row>
    <row r="10" spans="1:8" ht="14.25">
      <c r="A10" s="28" t="s">
        <v>92</v>
      </c>
      <c r="C10" s="31"/>
      <c r="D10" s="33"/>
      <c r="F10" s="32"/>
      <c r="G10" s="34"/>
      <c r="H10" s="31"/>
    </row>
    <row r="11" spans="3:8" ht="14.25">
      <c r="C11" s="31"/>
      <c r="D11" s="33"/>
      <c r="F11" s="32"/>
      <c r="G11" s="34"/>
      <c r="H11" s="31"/>
    </row>
    <row r="12" spans="1:8" ht="14.25">
      <c r="A12" s="28" t="s">
        <v>93</v>
      </c>
      <c r="C12" s="31"/>
      <c r="D12" s="33"/>
      <c r="F12" s="32">
        <f>F7*1.02^24</f>
        <v>149.409782035935</v>
      </c>
      <c r="G12" s="34" t="s">
        <v>50</v>
      </c>
      <c r="H12" s="31"/>
    </row>
    <row r="13" spans="3:8" ht="14.25">
      <c r="C13" s="31"/>
      <c r="D13" s="33"/>
      <c r="F13" s="32"/>
      <c r="G13" s="34"/>
      <c r="H13" s="31"/>
    </row>
    <row r="14" spans="1:8" ht="14.25">
      <c r="A14" s="28" t="s">
        <v>94</v>
      </c>
      <c r="C14" s="31"/>
      <c r="D14" s="33"/>
      <c r="F14" s="32"/>
      <c r="G14" s="34"/>
      <c r="H14" s="31"/>
    </row>
    <row r="15" spans="1:8" ht="14.25">
      <c r="A15" s="28" t="s">
        <v>95</v>
      </c>
      <c r="C15" s="31"/>
      <c r="D15" s="33"/>
      <c r="F15" s="32" t="s">
        <v>96</v>
      </c>
      <c r="G15" s="34" t="s">
        <v>91</v>
      </c>
      <c r="H15" s="36"/>
    </row>
    <row r="16" spans="3:8" ht="14.25">
      <c r="C16" s="31"/>
      <c r="D16" s="33"/>
      <c r="F16" s="32"/>
      <c r="G16" s="34"/>
      <c r="H16" s="36"/>
    </row>
    <row r="17" spans="1:8" ht="14.25">
      <c r="A17" s="28" t="s">
        <v>97</v>
      </c>
      <c r="C17" s="31"/>
      <c r="D17" s="33"/>
      <c r="F17" s="32" t="s">
        <v>90</v>
      </c>
      <c r="G17" s="34" t="s">
        <v>91</v>
      </c>
      <c r="H17" s="34"/>
    </row>
    <row r="18" spans="1:8" ht="14.25">
      <c r="A18" s="28" t="s">
        <v>98</v>
      </c>
      <c r="C18" s="31"/>
      <c r="D18" s="33"/>
      <c r="F18" s="32">
        <f>F7*0.02</f>
        <v>1.85782544</v>
      </c>
      <c r="G18" s="34" t="s">
        <v>50</v>
      </c>
      <c r="H18" s="31"/>
    </row>
    <row r="19" spans="1:8" ht="14.25">
      <c r="A19" s="28" t="s">
        <v>99</v>
      </c>
      <c r="C19" s="31"/>
      <c r="D19" s="31"/>
      <c r="F19" s="32" t="s">
        <v>136</v>
      </c>
      <c r="G19" s="34" t="s">
        <v>91</v>
      </c>
      <c r="H19" s="31"/>
    </row>
    <row r="20" spans="3:8" ht="14.25">
      <c r="C20" s="31"/>
      <c r="D20" s="31"/>
      <c r="F20" s="32"/>
      <c r="G20" s="34"/>
      <c r="H20" s="31"/>
    </row>
    <row r="21" spans="1:7" ht="14.25">
      <c r="A21" s="28" t="s">
        <v>100</v>
      </c>
      <c r="F21" s="29">
        <v>55000</v>
      </c>
      <c r="G21" s="37" t="s">
        <v>101</v>
      </c>
    </row>
    <row r="22" spans="1:7" ht="14.25">
      <c r="A22" s="28" t="s">
        <v>102</v>
      </c>
      <c r="F22" s="29">
        <f>F21*1000000000*31736/1000000000000000</f>
        <v>1745.48</v>
      </c>
      <c r="G22" s="37" t="s">
        <v>103</v>
      </c>
    </row>
    <row r="23" spans="1:7" ht="14.25">
      <c r="A23" s="28" t="s">
        <v>99</v>
      </c>
      <c r="F23" s="32" t="s">
        <v>136</v>
      </c>
      <c r="G23" s="34" t="s">
        <v>91</v>
      </c>
    </row>
    <row r="24" spans="6:7" ht="14.25">
      <c r="F24" s="32"/>
      <c r="G24" s="34"/>
    </row>
    <row r="25" spans="6:8" ht="14.25">
      <c r="F25" s="32" t="s">
        <v>104</v>
      </c>
      <c r="G25" s="34"/>
      <c r="H25" s="30" t="s">
        <v>105</v>
      </c>
    </row>
    <row r="26" spans="1:9" ht="14.25">
      <c r="A26" s="28" t="s">
        <v>106</v>
      </c>
      <c r="F26" s="38">
        <v>3100000</v>
      </c>
      <c r="G26" s="37" t="s">
        <v>101</v>
      </c>
      <c r="H26" s="39">
        <v>7600000</v>
      </c>
      <c r="I26" s="28" t="s">
        <v>107</v>
      </c>
    </row>
    <row r="27" spans="1:9" ht="14.25">
      <c r="A27" s="28" t="s">
        <v>108</v>
      </c>
      <c r="F27" s="40">
        <f>F26*1000000000*31736/1000000000000000</f>
        <v>98381.6</v>
      </c>
      <c r="G27" s="34" t="s">
        <v>103</v>
      </c>
      <c r="H27" s="39">
        <f>H26*1000000000000*31736/1000000000000000</f>
        <v>241193600</v>
      </c>
      <c r="I27" s="28" t="s">
        <v>103</v>
      </c>
    </row>
    <row r="28" spans="6:7" ht="14.25">
      <c r="F28" s="29"/>
      <c r="G28" s="37"/>
    </row>
    <row r="29" spans="1:7" ht="14.25">
      <c r="A29" s="28" t="s">
        <v>109</v>
      </c>
      <c r="F29" s="29">
        <v>0.4</v>
      </c>
      <c r="G29" s="37" t="s">
        <v>110</v>
      </c>
    </row>
    <row r="30" spans="1:7" ht="14.25">
      <c r="A30" s="28" t="s">
        <v>111</v>
      </c>
      <c r="F30" s="41">
        <v>0.55</v>
      </c>
      <c r="G30" s="37" t="s">
        <v>112</v>
      </c>
    </row>
    <row r="32" ht="15.75">
      <c r="A32" s="230" t="s">
        <v>113</v>
      </c>
    </row>
    <row r="33" ht="15">
      <c r="A33" s="43" t="s">
        <v>137</v>
      </c>
    </row>
    <row r="34" ht="9" customHeight="1">
      <c r="A34" s="42"/>
    </row>
    <row r="35" spans="1:7" ht="14.25">
      <c r="A35" s="28" t="s">
        <v>138</v>
      </c>
      <c r="F35" s="30">
        <f>(F7*1.005^24)-F7</f>
        <v>11.812033358953798</v>
      </c>
      <c r="G35" s="34" t="s">
        <v>50</v>
      </c>
    </row>
    <row r="36" ht="9" customHeight="1">
      <c r="A36" s="42"/>
    </row>
    <row r="37" spans="1:7" ht="14.25">
      <c r="A37" s="28" t="s">
        <v>139</v>
      </c>
      <c r="F37" s="30">
        <f>F7*1.02^24*0.02*0.1</f>
        <v>0.29881956407187</v>
      </c>
      <c r="G37" s="34" t="s">
        <v>50</v>
      </c>
    </row>
    <row r="38" ht="8.25" customHeight="1"/>
    <row r="39" spans="1:7" ht="14.25">
      <c r="A39" s="28" t="s">
        <v>140</v>
      </c>
      <c r="F39" s="30">
        <f>F7*0.25*0.1</f>
        <v>2.3222818000000003</v>
      </c>
      <c r="G39" s="34" t="s">
        <v>50</v>
      </c>
    </row>
    <row r="40" ht="14.25">
      <c r="A40" s="28" t="s">
        <v>114</v>
      </c>
    </row>
    <row r="41" ht="14.25">
      <c r="A41" s="28" t="s">
        <v>115</v>
      </c>
    </row>
    <row r="42" ht="8.25" customHeight="1"/>
    <row r="43" spans="1:7" ht="14.25">
      <c r="A43" s="28" t="s">
        <v>141</v>
      </c>
      <c r="F43" s="30">
        <f>F7*0.01</f>
        <v>0.92891272</v>
      </c>
      <c r="G43" s="34" t="s">
        <v>50</v>
      </c>
    </row>
    <row r="44" ht="14.25">
      <c r="A44" s="28" t="s">
        <v>142</v>
      </c>
    </row>
    <row r="45" ht="14.25">
      <c r="A45" s="28" t="s">
        <v>116</v>
      </c>
    </row>
    <row r="47" spans="1:7" ht="14.25">
      <c r="A47" s="28" t="s">
        <v>117</v>
      </c>
      <c r="F47" s="30">
        <f>SUM(F35:F43)</f>
        <v>15.362047443025668</v>
      </c>
      <c r="G47" s="34" t="s">
        <v>50</v>
      </c>
    </row>
    <row r="48" spans="1:7" ht="15">
      <c r="A48" s="43" t="s">
        <v>118</v>
      </c>
      <c r="B48" s="43"/>
      <c r="C48" s="43"/>
      <c r="D48" s="43"/>
      <c r="E48" s="44"/>
      <c r="F48" s="45">
        <f>F47*F30</f>
        <v>8.449126093664118</v>
      </c>
      <c r="G48" s="46" t="s">
        <v>50</v>
      </c>
    </row>
    <row r="49" spans="1:7" ht="9" customHeight="1">
      <c r="A49" s="43"/>
      <c r="B49" s="43"/>
      <c r="C49" s="43"/>
      <c r="D49" s="43"/>
      <c r="E49" s="44"/>
      <c r="F49" s="45"/>
      <c r="G49" s="46"/>
    </row>
    <row r="50" spans="1:7" ht="27.75" customHeight="1">
      <c r="A50" s="188" t="s">
        <v>403</v>
      </c>
      <c r="B50" s="203"/>
      <c r="C50" s="203"/>
      <c r="D50" s="203"/>
      <c r="E50" s="203"/>
      <c r="F50" s="45">
        <f>F48*100/Basisdaten!C26</f>
        <v>8.449126093664118</v>
      </c>
      <c r="G50" s="46" t="s">
        <v>91</v>
      </c>
    </row>
    <row r="51" spans="1:7" ht="31.5" customHeight="1">
      <c r="A51" s="188" t="s">
        <v>404</v>
      </c>
      <c r="B51" s="212"/>
      <c r="C51" s="212"/>
      <c r="D51" s="212"/>
      <c r="E51" s="212"/>
      <c r="F51" s="45">
        <f>F48*100/Basisdaten!C22</f>
        <v>1.8550711013099033</v>
      </c>
      <c r="G51" s="46" t="s">
        <v>91</v>
      </c>
    </row>
    <row r="52" spans="1:5" ht="15">
      <c r="A52" s="27"/>
      <c r="B52" s="43"/>
      <c r="C52" s="43"/>
      <c r="D52" s="43"/>
      <c r="E52" s="44"/>
    </row>
    <row r="53" spans="1:7" ht="15">
      <c r="A53" s="8"/>
      <c r="B53" s="43"/>
      <c r="C53" s="43"/>
      <c r="D53" s="43"/>
      <c r="E53" s="44"/>
      <c r="F53" s="45"/>
      <c r="G53" s="46"/>
    </row>
    <row r="54" ht="15.75">
      <c r="A54" s="74" t="s">
        <v>119</v>
      </c>
    </row>
    <row r="55" ht="15">
      <c r="A55" s="27"/>
    </row>
    <row r="56" ht="15.75">
      <c r="A56" s="230" t="s">
        <v>84</v>
      </c>
    </row>
    <row r="57" ht="14.25">
      <c r="A57" s="8" t="s">
        <v>120</v>
      </c>
    </row>
    <row r="58" ht="14.25">
      <c r="A58" s="8" t="s">
        <v>121</v>
      </c>
    </row>
    <row r="59" spans="1:7" ht="14.25">
      <c r="A59" s="8"/>
      <c r="F59" s="30">
        <v>0.9</v>
      </c>
      <c r="G59" s="28" t="s">
        <v>122</v>
      </c>
    </row>
    <row r="60" ht="14.25">
      <c r="A60" s="47" t="s">
        <v>123</v>
      </c>
    </row>
    <row r="61" spans="1:7" ht="14.25">
      <c r="A61" s="8" t="s">
        <v>135</v>
      </c>
      <c r="F61" s="30">
        <v>25</v>
      </c>
      <c r="G61" s="28" t="s">
        <v>122</v>
      </c>
    </row>
    <row r="63" ht="14.25">
      <c r="A63" s="8" t="s">
        <v>124</v>
      </c>
    </row>
    <row r="64" spans="1:7" ht="14.25">
      <c r="A64" s="8" t="s">
        <v>125</v>
      </c>
      <c r="F64" s="30">
        <v>5</v>
      </c>
      <c r="G64" s="28" t="s">
        <v>91</v>
      </c>
    </row>
    <row r="65" ht="14.25">
      <c r="A65" s="8"/>
    </row>
    <row r="66" ht="14.25">
      <c r="A66" s="8" t="s">
        <v>126</v>
      </c>
    </row>
    <row r="67" spans="1:7" ht="14.25">
      <c r="A67" s="8" t="s">
        <v>128</v>
      </c>
      <c r="F67" s="30">
        <v>20</v>
      </c>
      <c r="G67" s="28" t="s">
        <v>127</v>
      </c>
    </row>
    <row r="68" spans="1:7" ht="14.25">
      <c r="A68" s="8"/>
      <c r="F68" s="30">
        <f>F61*0.05*20</f>
        <v>25</v>
      </c>
      <c r="G68" s="28" t="s">
        <v>122</v>
      </c>
    </row>
    <row r="69" ht="15.75">
      <c r="A69" s="230" t="s">
        <v>113</v>
      </c>
    </row>
    <row r="71" spans="1:7" ht="14.25">
      <c r="A71" s="8" t="s">
        <v>129</v>
      </c>
      <c r="F71" s="30">
        <f>F61*F67*0.05/F59</f>
        <v>27.77777777777778</v>
      </c>
      <c r="G71" s="28" t="s">
        <v>130</v>
      </c>
    </row>
    <row r="72" spans="1:7" ht="14.25">
      <c r="A72" s="8"/>
      <c r="F72" s="48">
        <f>F71*1000000000*41868/1000000000000000</f>
        <v>1.163</v>
      </c>
      <c r="G72" s="28" t="s">
        <v>50</v>
      </c>
    </row>
    <row r="73" spans="1:7" ht="15" customHeight="1">
      <c r="A73" s="188"/>
      <c r="B73" s="203"/>
      <c r="C73" s="203"/>
      <c r="D73" s="203"/>
      <c r="E73" s="203"/>
      <c r="F73" s="49"/>
      <c r="G73" s="43"/>
    </row>
    <row r="74" spans="1:7" ht="30.75" customHeight="1">
      <c r="A74" s="188" t="s">
        <v>403</v>
      </c>
      <c r="B74" s="212"/>
      <c r="C74" s="212"/>
      <c r="D74" s="212"/>
      <c r="E74" s="212"/>
      <c r="F74" s="45">
        <f>F72/Basisdaten!C26*100</f>
        <v>1.163</v>
      </c>
      <c r="G74" s="43" t="s">
        <v>91</v>
      </c>
    </row>
    <row r="75" spans="1:7" ht="33.75" customHeight="1">
      <c r="A75" s="188" t="s">
        <v>404</v>
      </c>
      <c r="B75" s="212"/>
      <c r="C75" s="212"/>
      <c r="D75" s="212"/>
      <c r="E75" s="212"/>
      <c r="F75" s="45">
        <f>F72*100/Basisdaten!C22</f>
        <v>0.25534566142186677</v>
      </c>
      <c r="G75" s="43" t="s">
        <v>91</v>
      </c>
    </row>
  </sheetData>
  <mergeCells count="5">
    <mergeCell ref="A73:E73"/>
    <mergeCell ref="A50:E50"/>
    <mergeCell ref="A51:E51"/>
    <mergeCell ref="A74:E74"/>
    <mergeCell ref="A75:E75"/>
  </mergeCells>
  <printOptions/>
  <pageMargins left="0.45" right="0.21" top="1" bottom="1" header="0.4921259845" footer="0.4921259845"/>
  <pageSetup horizontalDpi="600" verticalDpi="600" orientation="landscape" paperSize="9" scale="75" r:id="rId1"/>
  <headerFooter alignWithMargins="0">
    <oddFooter>&amp;C&amp;A</oddFooter>
  </headerFooter>
  <rowBreaks count="1" manualBreakCount="1">
    <brk id="53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G35" sqref="G35"/>
    </sheetView>
  </sheetViews>
  <sheetFormatPr defaultColWidth="11.421875" defaultRowHeight="12.75"/>
  <cols>
    <col min="5" max="5" width="12.57421875" style="0" customWidth="1"/>
    <col min="6" max="6" width="10.8515625" style="0" customWidth="1"/>
    <col min="7" max="7" width="16.00390625" style="0" customWidth="1"/>
    <col min="8" max="8" width="5.00390625" style="0" customWidth="1"/>
    <col min="10" max="10" width="2.57421875" style="0" customWidth="1"/>
  </cols>
  <sheetData>
    <row r="1" s="141" customFormat="1" ht="18">
      <c r="A1" s="141" t="s">
        <v>409</v>
      </c>
    </row>
    <row r="3" spans="1:7" ht="34.5" customHeight="1">
      <c r="A3" s="205" t="s">
        <v>410</v>
      </c>
      <c r="B3" s="206"/>
      <c r="C3" s="206"/>
      <c r="D3" s="206"/>
      <c r="E3" s="206"/>
      <c r="F3" s="206"/>
      <c r="G3" s="206"/>
    </row>
    <row r="4" ht="18">
      <c r="A4" s="142"/>
    </row>
    <row r="5" ht="15.75">
      <c r="A5" s="230" t="s">
        <v>84</v>
      </c>
    </row>
    <row r="6" spans="1:9" ht="15">
      <c r="A6" s="52" t="s">
        <v>143</v>
      </c>
      <c r="F6" s="53">
        <v>73</v>
      </c>
      <c r="G6" s="52" t="s">
        <v>50</v>
      </c>
      <c r="H6" s="54"/>
      <c r="I6" s="54"/>
    </row>
    <row r="7" spans="1:7" ht="15">
      <c r="A7" s="52" t="s">
        <v>144</v>
      </c>
      <c r="F7" s="55"/>
      <c r="G7" s="52"/>
    </row>
    <row r="8" spans="1:7" ht="15">
      <c r="A8" s="52" t="s">
        <v>145</v>
      </c>
      <c r="B8" s="52"/>
      <c r="F8" s="56">
        <v>0.1</v>
      </c>
      <c r="G8" s="52"/>
    </row>
    <row r="9" spans="1:7" ht="15">
      <c r="A9" s="52" t="s">
        <v>146</v>
      </c>
      <c r="B9" s="52"/>
      <c r="F9" s="56">
        <v>0.4</v>
      </c>
      <c r="G9" s="52"/>
    </row>
    <row r="10" spans="1:7" ht="15">
      <c r="A10" s="52" t="s">
        <v>147</v>
      </c>
      <c r="F10" s="55"/>
      <c r="G10" s="52"/>
    </row>
    <row r="11" spans="1:7" ht="15">
      <c r="A11" s="57"/>
      <c r="F11" s="55"/>
      <c r="G11" s="52"/>
    </row>
    <row r="12" spans="1:7" ht="15.75">
      <c r="A12" s="230" t="s">
        <v>113</v>
      </c>
      <c r="B12" s="51"/>
      <c r="F12" s="55"/>
      <c r="G12" s="52"/>
    </row>
    <row r="13" spans="1:7" ht="15.75">
      <c r="A13" s="230"/>
      <c r="B13" s="51"/>
      <c r="F13" s="55"/>
      <c r="G13" s="52"/>
    </row>
    <row r="14" spans="1:7" ht="15.75">
      <c r="A14" s="234" t="s">
        <v>412</v>
      </c>
      <c r="B14" s="13"/>
      <c r="C14" s="13"/>
      <c r="D14" s="13"/>
      <c r="E14" s="13"/>
      <c r="F14" s="235"/>
      <c r="G14" s="74"/>
    </row>
    <row r="15" spans="1:7" ht="15.75">
      <c r="A15" s="234" t="s">
        <v>413</v>
      </c>
      <c r="B15" s="13"/>
      <c r="C15" s="13"/>
      <c r="D15" s="13"/>
      <c r="E15" s="236"/>
      <c r="F15" s="230">
        <f>F6*F8*F9*100/Basisdaten!C26</f>
        <v>2.9200000000000004</v>
      </c>
      <c r="G15" s="74" t="s">
        <v>91</v>
      </c>
    </row>
    <row r="16" spans="1:7" ht="15.75">
      <c r="A16" s="237"/>
      <c r="B16" s="13"/>
      <c r="C16" s="13"/>
      <c r="D16" s="13"/>
      <c r="E16" s="13"/>
      <c r="F16" s="230"/>
      <c r="G16" s="74"/>
    </row>
    <row r="17" spans="1:5" ht="15.75">
      <c r="A17" s="234" t="s">
        <v>412</v>
      </c>
      <c r="B17" s="13"/>
      <c r="C17" s="13"/>
      <c r="D17" s="13"/>
      <c r="E17" s="13"/>
    </row>
    <row r="18" spans="1:8" ht="15.75">
      <c r="A18" s="74" t="s">
        <v>414</v>
      </c>
      <c r="B18" s="13"/>
      <c r="C18" s="13"/>
      <c r="D18" s="13"/>
      <c r="E18" s="13"/>
      <c r="F18" s="230">
        <f>F6*F8*F9*100/Basisdaten!C22</f>
        <v>0.6411086254100181</v>
      </c>
      <c r="G18" s="238" t="s">
        <v>91</v>
      </c>
      <c r="H18" s="52"/>
    </row>
    <row r="19" ht="15">
      <c r="A19" s="52"/>
    </row>
    <row r="20" spans="1:7" ht="33" customHeight="1">
      <c r="A20" s="205" t="s">
        <v>411</v>
      </c>
      <c r="B20" s="203"/>
      <c r="C20" s="203"/>
      <c r="D20" s="203"/>
      <c r="E20" s="203"/>
      <c r="F20" s="203"/>
      <c r="G20" s="203"/>
    </row>
    <row r="21" ht="15.75">
      <c r="B21" s="60"/>
    </row>
    <row r="22" ht="15.75">
      <c r="A22" s="230" t="s">
        <v>84</v>
      </c>
    </row>
    <row r="23" spans="1:7" ht="31.5" customHeight="1">
      <c r="A23" s="204" t="s">
        <v>148</v>
      </c>
      <c r="B23" s="203"/>
      <c r="C23" s="203"/>
      <c r="D23" s="203"/>
      <c r="E23" s="203"/>
      <c r="F23" s="52">
        <v>1</v>
      </c>
      <c r="G23" s="52" t="s">
        <v>149</v>
      </c>
    </row>
    <row r="24" ht="15">
      <c r="A24" s="52"/>
    </row>
    <row r="25" spans="1:12" ht="45.75" customHeight="1">
      <c r="A25" s="204" t="s">
        <v>150</v>
      </c>
      <c r="B25" s="203"/>
      <c r="C25" s="203"/>
      <c r="D25" s="203"/>
      <c r="E25" s="203"/>
      <c r="F25" s="52">
        <v>35</v>
      </c>
      <c r="G25" s="52" t="s">
        <v>151</v>
      </c>
      <c r="J25" s="52"/>
      <c r="K25" s="52"/>
      <c r="L25" s="52"/>
    </row>
    <row r="26" ht="15">
      <c r="J26" s="58"/>
    </row>
    <row r="27" spans="1:10" ht="15">
      <c r="A27" s="52" t="s">
        <v>152</v>
      </c>
      <c r="B27" s="52"/>
      <c r="F27" s="61">
        <v>10</v>
      </c>
      <c r="G27" s="52" t="s">
        <v>91</v>
      </c>
      <c r="J27" s="62"/>
    </row>
    <row r="28" spans="1:7" ht="15">
      <c r="A28" s="52" t="s">
        <v>153</v>
      </c>
      <c r="B28" s="52"/>
      <c r="F28" s="52">
        <v>20</v>
      </c>
      <c r="G28" s="54" t="s">
        <v>127</v>
      </c>
    </row>
    <row r="29" spans="1:7" ht="15">
      <c r="A29" s="52" t="s">
        <v>154</v>
      </c>
      <c r="B29" s="52"/>
      <c r="C29" s="52" t="s">
        <v>155</v>
      </c>
      <c r="F29" s="52">
        <v>70</v>
      </c>
      <c r="G29" s="52" t="s">
        <v>149</v>
      </c>
    </row>
    <row r="31" spans="1:6" ht="15.75">
      <c r="A31" s="230" t="s">
        <v>113</v>
      </c>
      <c r="B31" s="52"/>
      <c r="F31" s="52"/>
    </row>
    <row r="32" spans="1:7" ht="15">
      <c r="A32" s="52"/>
      <c r="B32" s="52"/>
      <c r="G32" s="52"/>
    </row>
    <row r="33" spans="1:9" ht="15">
      <c r="A33" s="52" t="s">
        <v>156</v>
      </c>
      <c r="F33" s="53">
        <v>3</v>
      </c>
      <c r="G33" s="52" t="s">
        <v>50</v>
      </c>
      <c r="H33" s="54" t="s">
        <v>157</v>
      </c>
      <c r="I33" s="54"/>
    </row>
    <row r="34" spans="1:9" ht="15">
      <c r="A34" s="52"/>
      <c r="F34" s="53"/>
      <c r="G34" s="52"/>
      <c r="H34" s="54"/>
      <c r="I34" s="54"/>
    </row>
    <row r="35" spans="1:5" s="13" customFormat="1" ht="15.75">
      <c r="A35" s="234" t="s">
        <v>412</v>
      </c>
      <c r="B35" s="50"/>
      <c r="C35" s="50"/>
      <c r="D35" s="50"/>
      <c r="E35" s="50"/>
    </row>
    <row r="36" spans="1:7" s="13" customFormat="1" ht="15.75">
      <c r="A36" s="234" t="s">
        <v>413</v>
      </c>
      <c r="B36" s="50"/>
      <c r="C36" s="50"/>
      <c r="D36" s="50"/>
      <c r="E36" s="50"/>
      <c r="F36" s="230">
        <f>F33*100/Basisdaten!C26</f>
        <v>3</v>
      </c>
      <c r="G36" s="74" t="s">
        <v>91</v>
      </c>
    </row>
    <row r="37" spans="1:7" s="13" customFormat="1" ht="15.75">
      <c r="A37" s="234"/>
      <c r="B37" s="50"/>
      <c r="C37" s="50"/>
      <c r="D37" s="50"/>
      <c r="E37" s="50"/>
      <c r="F37" s="230"/>
      <c r="G37" s="74"/>
    </row>
    <row r="38" spans="1:5" s="13" customFormat="1" ht="15.75">
      <c r="A38" s="234" t="s">
        <v>412</v>
      </c>
      <c r="B38" s="50"/>
      <c r="C38" s="50"/>
      <c r="D38" s="50"/>
      <c r="E38" s="50"/>
    </row>
    <row r="39" spans="1:7" s="13" customFormat="1" ht="15.75">
      <c r="A39" s="74" t="s">
        <v>414</v>
      </c>
      <c r="F39" s="230">
        <f>F33*100/Basisdaten!C22</f>
        <v>0.6586732452842651</v>
      </c>
      <c r="G39" s="74" t="s">
        <v>91</v>
      </c>
    </row>
    <row r="40" ht="12.75">
      <c r="A40" s="63"/>
    </row>
    <row r="41" ht="12.75">
      <c r="A41" s="57"/>
    </row>
    <row r="42" ht="15.75" customHeight="1">
      <c r="E42" s="59"/>
    </row>
    <row r="43" ht="15">
      <c r="B43" s="52"/>
    </row>
    <row r="44" ht="12.75">
      <c r="A44" s="63"/>
    </row>
  </sheetData>
  <mergeCells count="4">
    <mergeCell ref="A23:E23"/>
    <mergeCell ref="A3:G3"/>
    <mergeCell ref="A20:G20"/>
    <mergeCell ref="A25:E25"/>
  </mergeCells>
  <printOptions/>
  <pageMargins left="0.45" right="0.21" top="1" bottom="1" header="0.4921259845" footer="0.4921259845"/>
  <pageSetup horizontalDpi="600" verticalDpi="600" orientation="landscape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54" customWidth="1"/>
    <col min="3" max="3" width="14.8515625" style="54" customWidth="1"/>
    <col min="4" max="4" width="11.421875" style="54" customWidth="1"/>
    <col min="5" max="5" width="10.7109375" style="54" bestFit="1" customWidth="1"/>
    <col min="6" max="6" width="10.8515625" style="54" customWidth="1"/>
    <col min="7" max="7" width="16.00390625" style="54" customWidth="1"/>
    <col min="8" max="16384" width="11.421875" style="54" customWidth="1"/>
  </cols>
  <sheetData>
    <row r="1" s="141" customFormat="1" ht="18">
      <c r="A1" s="141" t="s">
        <v>415</v>
      </c>
    </row>
    <row r="3" spans="1:5" s="67" customFormat="1" ht="61.5" customHeight="1">
      <c r="A3" s="208" t="s">
        <v>170</v>
      </c>
      <c r="B3" s="208"/>
      <c r="C3" s="208"/>
      <c r="D3" s="66">
        <f>3.2*1000000</f>
        <v>3200000</v>
      </c>
      <c r="E3" s="65" t="s">
        <v>160</v>
      </c>
    </row>
    <row r="4" spans="1:5" ht="15">
      <c r="A4" s="67"/>
      <c r="B4" s="67"/>
      <c r="C4" s="67"/>
      <c r="E4" s="68"/>
    </row>
    <row r="5" spans="1:5" ht="15.75">
      <c r="A5" s="69" t="s">
        <v>161</v>
      </c>
      <c r="B5" s="70"/>
      <c r="C5" s="70"/>
      <c r="D5" s="70"/>
      <c r="E5" s="70"/>
    </row>
    <row r="6" spans="1:5" ht="15.75">
      <c r="A6" s="69" t="s">
        <v>10</v>
      </c>
      <c r="B6" s="70"/>
      <c r="C6" s="70"/>
      <c r="D6" s="70">
        <v>57</v>
      </c>
      <c r="E6" s="70" t="s">
        <v>162</v>
      </c>
    </row>
    <row r="7" spans="1:5" ht="15">
      <c r="A7" s="70" t="s">
        <v>11</v>
      </c>
      <c r="B7" s="70"/>
      <c r="C7" s="70"/>
      <c r="D7" s="70">
        <v>42</v>
      </c>
      <c r="E7" s="70" t="s">
        <v>162</v>
      </c>
    </row>
    <row r="9" spans="1:5" ht="15.75">
      <c r="A9" s="69" t="s">
        <v>163</v>
      </c>
      <c r="B9" s="70"/>
      <c r="C9" s="70"/>
      <c r="D9" s="70"/>
      <c r="E9" s="70"/>
    </row>
    <row r="10" spans="1:5" ht="15">
      <c r="A10" s="70" t="s">
        <v>10</v>
      </c>
      <c r="B10" s="70"/>
      <c r="C10" s="70"/>
      <c r="D10" s="71">
        <f>D3*D6</f>
        <v>182400000</v>
      </c>
      <c r="E10" s="70" t="s">
        <v>164</v>
      </c>
    </row>
    <row r="11" spans="1:5" ht="15">
      <c r="A11" s="70" t="s">
        <v>11</v>
      </c>
      <c r="B11" s="70"/>
      <c r="C11" s="70"/>
      <c r="D11" s="71">
        <f>D7*D3</f>
        <v>134400000</v>
      </c>
      <c r="E11" s="70" t="s">
        <v>164</v>
      </c>
    </row>
    <row r="13" spans="1:7" ht="15.75">
      <c r="A13" s="69" t="s">
        <v>165</v>
      </c>
      <c r="B13" s="70"/>
      <c r="C13" s="70"/>
      <c r="D13" s="72" t="s">
        <v>104</v>
      </c>
      <c r="E13" s="70"/>
      <c r="F13" s="72" t="s">
        <v>105</v>
      </c>
      <c r="G13" s="70"/>
    </row>
    <row r="14" spans="1:7" ht="15">
      <c r="A14" s="70" t="s">
        <v>10</v>
      </c>
      <c r="B14" s="70"/>
      <c r="C14" s="70"/>
      <c r="D14" s="70">
        <v>25</v>
      </c>
      <c r="E14" s="70" t="s">
        <v>166</v>
      </c>
      <c r="F14" s="70">
        <v>55</v>
      </c>
      <c r="G14" s="70" t="s">
        <v>166</v>
      </c>
    </row>
    <row r="15" spans="1:7" ht="15">
      <c r="A15" s="70" t="s">
        <v>11</v>
      </c>
      <c r="B15" s="70"/>
      <c r="C15" s="70"/>
      <c r="D15" s="70">
        <v>8</v>
      </c>
      <c r="E15" s="70" t="s">
        <v>166</v>
      </c>
      <c r="F15" s="70">
        <v>52</v>
      </c>
      <c r="G15" s="70" t="s">
        <v>166</v>
      </c>
    </row>
    <row r="16" spans="1:7" ht="15">
      <c r="A16" s="70" t="s">
        <v>12</v>
      </c>
      <c r="B16" s="70"/>
      <c r="C16" s="70"/>
      <c r="D16" s="70">
        <v>65</v>
      </c>
      <c r="E16" s="70" t="s">
        <v>166</v>
      </c>
      <c r="F16" s="70">
        <v>150</v>
      </c>
      <c r="G16" s="70" t="s">
        <v>166</v>
      </c>
    </row>
    <row r="18" spans="1:7" ht="15.75">
      <c r="A18" s="69" t="s">
        <v>167</v>
      </c>
      <c r="B18" s="70"/>
      <c r="C18" s="70"/>
      <c r="D18" s="72" t="s">
        <v>104</v>
      </c>
      <c r="E18" s="70"/>
      <c r="F18" s="72" t="s">
        <v>105</v>
      </c>
      <c r="G18" s="70"/>
    </row>
    <row r="19" spans="1:7" ht="15">
      <c r="A19" s="70" t="s">
        <v>10</v>
      </c>
      <c r="B19" s="70"/>
      <c r="C19" s="70"/>
      <c r="D19" s="71">
        <f>D14*D3</f>
        <v>80000000</v>
      </c>
      <c r="E19" s="70" t="s">
        <v>164</v>
      </c>
      <c r="F19" s="71">
        <f>F14*D3</f>
        <v>176000000</v>
      </c>
      <c r="G19" s="70" t="s">
        <v>164</v>
      </c>
    </row>
    <row r="20" spans="1:7" ht="15">
      <c r="A20" s="70" t="s">
        <v>11</v>
      </c>
      <c r="B20" s="70"/>
      <c r="C20" s="70"/>
      <c r="D20" s="71">
        <f>D15*D3</f>
        <v>25600000</v>
      </c>
      <c r="E20" s="70" t="s">
        <v>164</v>
      </c>
      <c r="F20" s="71">
        <f>F15*D3</f>
        <v>166400000</v>
      </c>
      <c r="G20" s="70" t="s">
        <v>164</v>
      </c>
    </row>
    <row r="21" spans="1:7" ht="15">
      <c r="A21" s="70" t="s">
        <v>12</v>
      </c>
      <c r="B21" s="70"/>
      <c r="C21" s="70"/>
      <c r="D21" s="71">
        <f>D16*D3</f>
        <v>208000000</v>
      </c>
      <c r="E21" s="70" t="s">
        <v>164</v>
      </c>
      <c r="F21" s="71">
        <f>F16*D3</f>
        <v>480000000</v>
      </c>
      <c r="G21" s="70" t="s">
        <v>164</v>
      </c>
    </row>
    <row r="23" spans="1:7" ht="15.75">
      <c r="A23" s="209" t="s">
        <v>168</v>
      </c>
      <c r="B23" s="210"/>
      <c r="C23" s="210"/>
      <c r="D23" s="210"/>
      <c r="E23" s="210"/>
      <c r="F23" s="70"/>
      <c r="G23" s="70"/>
    </row>
    <row r="24" spans="1:7" ht="15">
      <c r="A24" s="70" t="s">
        <v>10</v>
      </c>
      <c r="B24" s="70"/>
      <c r="C24" s="70"/>
      <c r="D24" s="73">
        <f>D19*100/(1000000000*Basisdaten!C5)</f>
        <v>0.5480202767502398</v>
      </c>
      <c r="E24" s="70" t="s">
        <v>91</v>
      </c>
      <c r="F24" s="73">
        <f>F19*100/(1000000000*Basisdaten!C5)</f>
        <v>1.2056446088505275</v>
      </c>
      <c r="G24" s="70" t="s">
        <v>91</v>
      </c>
    </row>
    <row r="25" spans="1:7" ht="15">
      <c r="A25" s="70" t="s">
        <v>11</v>
      </c>
      <c r="B25" s="70"/>
      <c r="C25" s="70"/>
      <c r="D25" s="73">
        <f>D20*100/(1000000000*Basisdaten!C5)</f>
        <v>0.17536648856007672</v>
      </c>
      <c r="E25" s="70" t="s">
        <v>91</v>
      </c>
      <c r="F25" s="73">
        <f>F20*100/(1000000000*Basisdaten!C5)</f>
        <v>1.1398821756404987</v>
      </c>
      <c r="G25" s="70" t="s">
        <v>91</v>
      </c>
    </row>
    <row r="26" spans="1:7" ht="15">
      <c r="A26" s="70" t="s">
        <v>12</v>
      </c>
      <c r="B26" s="70"/>
      <c r="C26" s="70"/>
      <c r="D26" s="73">
        <f>D21*100/(1000000000*Basisdaten!C5)</f>
        <v>1.4248527195506233</v>
      </c>
      <c r="E26" s="70" t="s">
        <v>91</v>
      </c>
      <c r="F26" s="73">
        <f>F21*100/(1000000000*Basisdaten!C5)</f>
        <v>3.2881216605014387</v>
      </c>
      <c r="G26" s="70" t="s">
        <v>91</v>
      </c>
    </row>
    <row r="28" ht="15.75">
      <c r="A28" s="74" t="s">
        <v>169</v>
      </c>
    </row>
    <row r="29" spans="1:7" ht="15">
      <c r="A29" s="70" t="s">
        <v>10</v>
      </c>
      <c r="B29" s="70"/>
      <c r="C29" s="70"/>
      <c r="D29" s="73">
        <f>D19*100/(1000000000*Basisdaten!C11)</f>
        <v>3.284072249589491</v>
      </c>
      <c r="E29" s="70" t="s">
        <v>91</v>
      </c>
      <c r="F29" s="73">
        <f>F19*100/(1000000000*Basisdaten!C11)</f>
        <v>7.22495894909688</v>
      </c>
      <c r="G29" s="70" t="s">
        <v>91</v>
      </c>
    </row>
    <row r="30" spans="1:7" ht="15">
      <c r="A30" s="70" t="s">
        <v>11</v>
      </c>
      <c r="B30" s="70"/>
      <c r="C30" s="70"/>
      <c r="D30" s="73">
        <f>D20*100/(1000000000*Basisdaten!C11)</f>
        <v>1.0509031198686372</v>
      </c>
      <c r="E30" s="70" t="s">
        <v>91</v>
      </c>
      <c r="F30" s="73">
        <f>F20*100/(1000000000*Basisdaten!C11)</f>
        <v>6.830870279146141</v>
      </c>
      <c r="G30" s="70" t="s">
        <v>91</v>
      </c>
    </row>
    <row r="31" spans="1:7" ht="15">
      <c r="A31" s="70" t="s">
        <v>12</v>
      </c>
      <c r="B31" s="70"/>
      <c r="C31" s="70"/>
      <c r="D31" s="73">
        <f>D21*100/(1000000000*Basisdaten!C11)</f>
        <v>8.538587848932677</v>
      </c>
      <c r="E31" s="70" t="s">
        <v>91</v>
      </c>
      <c r="F31" s="73">
        <f>F21*100/(1000000000*Basisdaten!C11)</f>
        <v>19.704433497536947</v>
      </c>
      <c r="G31" s="70" t="s">
        <v>91</v>
      </c>
    </row>
  </sheetData>
  <mergeCells count="2">
    <mergeCell ref="A3:C3"/>
    <mergeCell ref="A23:E23"/>
  </mergeCells>
  <printOptions/>
  <pageMargins left="0.45" right="0.21" top="1" bottom="1" header="0.4921259845" footer="0.4921259845"/>
  <pageSetup horizontalDpi="600" verticalDpi="600" orientation="landscape" paperSize="9" scale="7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A1" sqref="A1"/>
    </sheetView>
  </sheetViews>
  <sheetFormatPr defaultColWidth="11.421875" defaultRowHeight="12.75"/>
  <cols>
    <col min="1" max="1" width="50.140625" style="67" customWidth="1"/>
    <col min="2" max="2" width="14.8515625" style="75" bestFit="1" customWidth="1"/>
    <col min="3" max="3" width="11.57421875" style="54" customWidth="1"/>
    <col min="4" max="4" width="9.8515625" style="54" bestFit="1" customWidth="1"/>
    <col min="5" max="5" width="10.7109375" style="54" bestFit="1" customWidth="1"/>
    <col min="6" max="6" width="10.8515625" style="54" customWidth="1"/>
    <col min="7" max="7" width="16.00390625" style="54" customWidth="1"/>
    <col min="8" max="16384" width="11.421875" style="54" customWidth="1"/>
  </cols>
  <sheetData>
    <row r="1" spans="1:2" s="141" customFormat="1" ht="18">
      <c r="A1" s="239" t="s">
        <v>416</v>
      </c>
      <c r="B1" s="240"/>
    </row>
    <row r="3" ht="15.75">
      <c r="A3" s="50" t="s">
        <v>171</v>
      </c>
    </row>
    <row r="5" spans="1:5" ht="15">
      <c r="A5" s="76" t="s">
        <v>172</v>
      </c>
      <c r="B5" s="77">
        <f aca="true" t="shared" si="0" ref="B5:B11">D5*3600*24*365/1000000000</f>
        <v>3.1536</v>
      </c>
      <c r="C5" s="70" t="s">
        <v>173</v>
      </c>
      <c r="D5" s="77">
        <v>100</v>
      </c>
      <c r="E5" s="70" t="s">
        <v>174</v>
      </c>
    </row>
    <row r="6" spans="1:5" ht="15">
      <c r="A6" s="76" t="s">
        <v>175</v>
      </c>
      <c r="B6" s="77">
        <f t="shared" si="0"/>
        <v>0.6244128</v>
      </c>
      <c r="C6" s="70" t="s">
        <v>173</v>
      </c>
      <c r="D6" s="77">
        <v>19.8</v>
      </c>
      <c r="E6" s="70" t="s">
        <v>174</v>
      </c>
    </row>
    <row r="7" spans="1:5" ht="15">
      <c r="A7" s="76" t="s">
        <v>176</v>
      </c>
      <c r="B7" s="77">
        <f t="shared" si="0"/>
        <v>0.7978608</v>
      </c>
      <c r="C7" s="70" t="s">
        <v>173</v>
      </c>
      <c r="D7" s="77">
        <v>25.3</v>
      </c>
      <c r="E7" s="70" t="s">
        <v>174</v>
      </c>
    </row>
    <row r="8" spans="1:5" ht="15">
      <c r="A8" s="76" t="s">
        <v>177</v>
      </c>
      <c r="B8" s="77">
        <f t="shared" si="0"/>
        <v>0.6811776</v>
      </c>
      <c r="C8" s="70" t="s">
        <v>173</v>
      </c>
      <c r="D8" s="77">
        <v>21.6</v>
      </c>
      <c r="E8" s="70" t="s">
        <v>174</v>
      </c>
    </row>
    <row r="9" spans="1:5" ht="15">
      <c r="A9" s="76" t="s">
        <v>178</v>
      </c>
      <c r="B9" s="77">
        <f t="shared" si="0"/>
        <v>1.0501487999999999</v>
      </c>
      <c r="C9" s="70" t="s">
        <v>173</v>
      </c>
      <c r="D9" s="77">
        <f>D5-(D6+D7+D8)</f>
        <v>33.3</v>
      </c>
      <c r="E9" s="70" t="s">
        <v>174</v>
      </c>
    </row>
    <row r="10" spans="1:5" ht="45">
      <c r="A10" s="76" t="s">
        <v>179</v>
      </c>
      <c r="B10" s="77">
        <f t="shared" si="0"/>
        <v>0.05250744</v>
      </c>
      <c r="C10" s="70" t="s">
        <v>173</v>
      </c>
      <c r="D10" s="77">
        <f>D9*5/100</f>
        <v>1.665</v>
      </c>
      <c r="E10" s="70" t="s">
        <v>174</v>
      </c>
    </row>
    <row r="11" spans="1:5" ht="45">
      <c r="A11" s="76" t="s">
        <v>180</v>
      </c>
      <c r="B11" s="77">
        <f t="shared" si="0"/>
        <v>0.99764136</v>
      </c>
      <c r="C11" s="70" t="s">
        <v>173</v>
      </c>
      <c r="D11" s="77">
        <f>D9-D10</f>
        <v>31.634999999999998</v>
      </c>
      <c r="E11" s="70" t="s">
        <v>174</v>
      </c>
    </row>
    <row r="12" spans="1:5" ht="15">
      <c r="A12" s="76" t="s">
        <v>181</v>
      </c>
      <c r="B12" s="78">
        <f>B11/B5</f>
        <v>0.31635</v>
      </c>
      <c r="C12" s="70"/>
      <c r="D12" s="70"/>
      <c r="E12" s="70"/>
    </row>
    <row r="14" spans="1:3" ht="15">
      <c r="A14" s="70" t="s">
        <v>182</v>
      </c>
      <c r="B14" s="77">
        <v>12</v>
      </c>
      <c r="C14" s="70" t="s">
        <v>183</v>
      </c>
    </row>
    <row r="15" spans="1:3" ht="15">
      <c r="A15" s="70" t="s">
        <v>184</v>
      </c>
      <c r="B15" s="77">
        <f>9.68*1</f>
        <v>9.68</v>
      </c>
      <c r="C15" s="70" t="s">
        <v>183</v>
      </c>
    </row>
    <row r="16" spans="1:3" ht="15">
      <c r="A16" s="70" t="s">
        <v>185</v>
      </c>
      <c r="B16" s="77">
        <f>5.761*1</f>
        <v>5.761</v>
      </c>
      <c r="C16" s="70" t="s">
        <v>183</v>
      </c>
    </row>
    <row r="17" spans="1:3" ht="15">
      <c r="A17" s="79" t="s">
        <v>186</v>
      </c>
      <c r="B17" s="77">
        <f>SUM(B14:B16)</f>
        <v>27.441</v>
      </c>
      <c r="C17" s="70" t="s">
        <v>183</v>
      </c>
    </row>
    <row r="18" spans="1:3" ht="15">
      <c r="A18" s="80" t="s">
        <v>187</v>
      </c>
      <c r="B18" s="77">
        <f>30.97*0.12</f>
        <v>3.7163999999999997</v>
      </c>
      <c r="C18" s="70" t="s">
        <v>183</v>
      </c>
    </row>
    <row r="19" spans="1:2" ht="15">
      <c r="A19" s="54"/>
      <c r="B19" s="81"/>
    </row>
    <row r="20" spans="1:5" ht="15">
      <c r="A20" s="65" t="s">
        <v>188</v>
      </c>
      <c r="B20" s="77">
        <f>B17/2</f>
        <v>13.7205</v>
      </c>
      <c r="C20" s="70" t="s">
        <v>183</v>
      </c>
      <c r="E20" s="82"/>
    </row>
    <row r="21" spans="1:5" ht="15">
      <c r="A21" s="65" t="s">
        <v>189</v>
      </c>
      <c r="B21" s="77">
        <f>B18/2</f>
        <v>1.8581999999999999</v>
      </c>
      <c r="C21" s="70" t="s">
        <v>183</v>
      </c>
      <c r="E21" s="82"/>
    </row>
    <row r="22" spans="1:3" ht="15">
      <c r="A22" s="65" t="s">
        <v>190</v>
      </c>
      <c r="B22" s="77">
        <v>11</v>
      </c>
      <c r="C22" s="70" t="s">
        <v>191</v>
      </c>
    </row>
    <row r="23" spans="1:3" ht="15">
      <c r="A23" s="65" t="s">
        <v>192</v>
      </c>
      <c r="B23" s="77">
        <v>14.6</v>
      </c>
      <c r="C23" s="70" t="s">
        <v>191</v>
      </c>
    </row>
    <row r="24" spans="1:3" ht="15">
      <c r="A24" s="65" t="s">
        <v>193</v>
      </c>
      <c r="B24" s="77">
        <f>B20*1000000*1000000*B22/1000000000000000</f>
        <v>0.1509255</v>
      </c>
      <c r="C24" s="70" t="s">
        <v>50</v>
      </c>
    </row>
    <row r="25" spans="1:3" ht="15">
      <c r="A25" s="65" t="s">
        <v>194</v>
      </c>
      <c r="B25" s="77">
        <f>B21*1000000*1000000*B23/1000000000000000</f>
        <v>0.027129719999999996</v>
      </c>
      <c r="C25" s="70" t="s">
        <v>50</v>
      </c>
    </row>
    <row r="26" spans="1:3" ht="15">
      <c r="A26" s="65" t="s">
        <v>195</v>
      </c>
      <c r="B26" s="77">
        <f>SUM(B24:B25)</f>
        <v>0.17805522</v>
      </c>
      <c r="C26" s="70" t="s">
        <v>50</v>
      </c>
    </row>
    <row r="27" spans="1:3" ht="45">
      <c r="A27" s="65" t="s">
        <v>196</v>
      </c>
      <c r="B27" s="77">
        <f>B26*B12</f>
        <v>0.056327768847</v>
      </c>
      <c r="C27" s="70" t="s">
        <v>50</v>
      </c>
    </row>
    <row r="28" ht="15">
      <c r="B28" s="81"/>
    </row>
    <row r="29" spans="1:3" s="74" customFormat="1" ht="31.5">
      <c r="A29" s="88" t="s">
        <v>197</v>
      </c>
      <c r="B29" s="241">
        <f>B27*100/Basisdaten!C11</f>
        <v>2.312305781896552</v>
      </c>
      <c r="C29" s="242" t="s">
        <v>91</v>
      </c>
    </row>
    <row r="30" spans="1:3" s="74" customFormat="1" ht="31.5">
      <c r="A30" s="88" t="s">
        <v>198</v>
      </c>
      <c r="B30" s="241">
        <f>B27*100/Basisdaten!C5</f>
        <v>0.3858594934032059</v>
      </c>
      <c r="C30" s="242" t="s">
        <v>91</v>
      </c>
    </row>
    <row r="33" ht="15.75">
      <c r="A33" s="50" t="s">
        <v>417</v>
      </c>
    </row>
    <row r="35" spans="1:3" ht="45">
      <c r="A35" s="65" t="s">
        <v>199</v>
      </c>
      <c r="B35" s="66">
        <f>3.2*1000000</f>
        <v>3200000</v>
      </c>
      <c r="C35" s="65" t="s">
        <v>160</v>
      </c>
    </row>
    <row r="36" spans="1:3" ht="15">
      <c r="A36" s="65" t="s">
        <v>200</v>
      </c>
      <c r="B36" s="83">
        <v>11</v>
      </c>
      <c r="C36" s="65" t="s">
        <v>201</v>
      </c>
    </row>
    <row r="37" spans="1:3" ht="15">
      <c r="A37" s="65" t="s">
        <v>202</v>
      </c>
      <c r="B37" s="83">
        <v>10</v>
      </c>
      <c r="C37" s="65" t="s">
        <v>203</v>
      </c>
    </row>
    <row r="38" spans="1:3" ht="15">
      <c r="A38" s="65" t="s">
        <v>204</v>
      </c>
      <c r="B38" s="84">
        <f>B36*B37</f>
        <v>110</v>
      </c>
      <c r="C38" s="70" t="s">
        <v>205</v>
      </c>
    </row>
    <row r="39" spans="1:3" ht="15">
      <c r="A39" s="65" t="s">
        <v>206</v>
      </c>
      <c r="B39" s="71">
        <f>B38*B35</f>
        <v>352000000</v>
      </c>
      <c r="C39" s="70" t="s">
        <v>164</v>
      </c>
    </row>
    <row r="40" spans="1:3" ht="15">
      <c r="A40" s="85"/>
      <c r="B40" s="86"/>
      <c r="C40" s="87"/>
    </row>
    <row r="41" spans="1:5" ht="15">
      <c r="A41" s="65"/>
      <c r="B41" s="72" t="s">
        <v>104</v>
      </c>
      <c r="C41" s="70"/>
      <c r="D41" s="72" t="s">
        <v>105</v>
      </c>
      <c r="E41" s="70"/>
    </row>
    <row r="42" spans="1:5" ht="30">
      <c r="A42" s="65" t="s">
        <v>207</v>
      </c>
      <c r="B42" s="83">
        <v>110</v>
      </c>
      <c r="C42" s="70" t="s">
        <v>166</v>
      </c>
      <c r="D42" s="83">
        <v>138</v>
      </c>
      <c r="E42" s="70" t="s">
        <v>166</v>
      </c>
    </row>
    <row r="43" spans="1:5" ht="15">
      <c r="A43" s="65" t="s">
        <v>208</v>
      </c>
      <c r="B43" s="71">
        <f>B42*B35</f>
        <v>352000000</v>
      </c>
      <c r="C43" s="70" t="s">
        <v>164</v>
      </c>
      <c r="D43" s="71">
        <f>D42*B35</f>
        <v>441600000</v>
      </c>
      <c r="E43" s="70" t="s">
        <v>164</v>
      </c>
    </row>
    <row r="44" spans="1:5" ht="15.75">
      <c r="A44" s="88" t="s">
        <v>209</v>
      </c>
      <c r="B44" s="243">
        <f>B43*100/(1000000000*Basisdaten!C5)</f>
        <v>2.411289217701055</v>
      </c>
      <c r="C44" s="244" t="s">
        <v>91</v>
      </c>
      <c r="D44" s="243">
        <f>D43*100/(1000000000*Basisdaten!C5)</f>
        <v>3.0250719276613234</v>
      </c>
      <c r="E44" s="244" t="s">
        <v>91</v>
      </c>
    </row>
    <row r="45" spans="1:5" ht="31.5">
      <c r="A45" s="88" t="s">
        <v>210</v>
      </c>
      <c r="B45" s="243">
        <f>B43*100/(1000000000*Basisdaten!C11)</f>
        <v>14.44991789819376</v>
      </c>
      <c r="C45" s="244" t="s">
        <v>91</v>
      </c>
      <c r="D45" s="243">
        <f>D43*100/(1000000000*Basisdaten!C11)</f>
        <v>18.12807881773399</v>
      </c>
      <c r="E45" s="244" t="s">
        <v>91</v>
      </c>
    </row>
    <row r="46" spans="2:5" ht="15">
      <c r="B46" s="89"/>
      <c r="C46" s="52"/>
      <c r="D46" s="52"/>
      <c r="E46" s="52"/>
    </row>
    <row r="47" spans="1:5" ht="34.5" customHeight="1">
      <c r="A47" s="211" t="s">
        <v>211</v>
      </c>
      <c r="B47" s="212"/>
      <c r="C47" s="212"/>
      <c r="D47" s="212"/>
      <c r="E47" s="212"/>
    </row>
    <row r="48" spans="2:5" ht="15">
      <c r="B48" s="89"/>
      <c r="C48" s="52"/>
      <c r="D48" s="52"/>
      <c r="E48" s="52"/>
    </row>
    <row r="49" spans="2:5" ht="15">
      <c r="B49" s="89"/>
      <c r="C49" s="52"/>
      <c r="D49" s="52"/>
      <c r="E49" s="52"/>
    </row>
    <row r="50" spans="2:5" ht="15">
      <c r="B50" s="89"/>
      <c r="C50" s="52"/>
      <c r="D50" s="52"/>
      <c r="E50" s="52"/>
    </row>
  </sheetData>
  <mergeCells count="1">
    <mergeCell ref="A47:E47"/>
  </mergeCells>
  <printOptions/>
  <pageMargins left="0.45" right="0.21" top="1" bottom="1" header="0.4921259845" footer="0.4921259845"/>
  <pageSetup horizontalDpi="600" verticalDpi="600" orientation="landscape" paperSize="9" scale="7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54" customWidth="1"/>
    <col min="3" max="3" width="22.421875" style="54" customWidth="1"/>
    <col min="4" max="4" width="11.421875" style="54" customWidth="1"/>
    <col min="5" max="5" width="5.140625" style="54" bestFit="1" customWidth="1"/>
    <col min="6" max="6" width="8.421875" style="54" customWidth="1"/>
    <col min="7" max="7" width="5.140625" style="54" bestFit="1" customWidth="1"/>
    <col min="8" max="16384" width="11.421875" style="54" customWidth="1"/>
  </cols>
  <sheetData>
    <row r="1" s="141" customFormat="1" ht="18">
      <c r="A1" s="141" t="s">
        <v>418</v>
      </c>
    </row>
    <row r="2" ht="12.75" customHeight="1"/>
    <row r="3" ht="13.5" customHeight="1"/>
    <row r="4" spans="1:8" ht="13.5" customHeight="1">
      <c r="A4" s="74" t="s">
        <v>249</v>
      </c>
      <c r="B4" s="52"/>
      <c r="C4" s="52"/>
      <c r="D4" s="52"/>
      <c r="E4" s="52"/>
      <c r="F4" s="52"/>
      <c r="G4" s="52"/>
      <c r="H4" s="52"/>
    </row>
    <row r="5" spans="1:8" ht="15">
      <c r="A5" s="52" t="s">
        <v>250</v>
      </c>
      <c r="B5" s="52"/>
      <c r="C5" s="52"/>
      <c r="D5" s="91">
        <v>4500</v>
      </c>
      <c r="E5" s="91" t="s">
        <v>251</v>
      </c>
      <c r="F5" s="52"/>
      <c r="G5" s="52"/>
      <c r="H5" s="52"/>
    </row>
    <row r="6" spans="1:8" ht="15">
      <c r="A6" s="52"/>
      <c r="B6" s="52"/>
      <c r="C6" s="52"/>
      <c r="D6" s="115" t="s">
        <v>104</v>
      </c>
      <c r="E6" s="52"/>
      <c r="F6" s="115" t="s">
        <v>105</v>
      </c>
      <c r="G6" s="52"/>
      <c r="H6" s="52"/>
    </row>
    <row r="7" spans="1:8" ht="15">
      <c r="A7" s="52" t="s">
        <v>252</v>
      </c>
      <c r="B7" s="52"/>
      <c r="C7" s="52"/>
      <c r="D7" s="247">
        <v>5</v>
      </c>
      <c r="E7" s="109" t="s">
        <v>91</v>
      </c>
      <c r="F7" s="247">
        <v>10</v>
      </c>
      <c r="G7" s="109" t="s">
        <v>91</v>
      </c>
      <c r="H7" s="52"/>
    </row>
    <row r="8" spans="1:8" ht="15">
      <c r="A8" s="52" t="s">
        <v>253</v>
      </c>
      <c r="B8" s="52"/>
      <c r="C8" s="52"/>
      <c r="D8" s="91"/>
      <c r="E8" s="52"/>
      <c r="F8" s="91"/>
      <c r="G8" s="52"/>
      <c r="H8" s="52"/>
    </row>
    <row r="9" spans="1:8" ht="15">
      <c r="A9" s="52"/>
      <c r="B9" s="52"/>
      <c r="C9" s="52"/>
      <c r="D9" s="91"/>
      <c r="E9" s="52"/>
      <c r="F9" s="91"/>
      <c r="G9" s="52"/>
      <c r="H9" s="52"/>
    </row>
    <row r="10" spans="1:8" ht="15.75">
      <c r="A10" s="74" t="s">
        <v>254</v>
      </c>
      <c r="B10" s="52"/>
      <c r="C10" s="52"/>
      <c r="D10" s="115" t="s">
        <v>104</v>
      </c>
      <c r="E10" s="52"/>
      <c r="F10" s="115" t="s">
        <v>105</v>
      </c>
      <c r="G10" s="52"/>
      <c r="H10" s="52"/>
    </row>
    <row r="11" spans="1:8" ht="15">
      <c r="A11" s="52" t="s">
        <v>255</v>
      </c>
      <c r="B11" s="52"/>
      <c r="C11" s="52"/>
      <c r="D11" s="91">
        <f>$D5/(100*25)*15*D7</f>
        <v>135</v>
      </c>
      <c r="E11" s="91" t="s">
        <v>251</v>
      </c>
      <c r="F11" s="91">
        <f>$D5/(100*25)*15*F7</f>
        <v>270</v>
      </c>
      <c r="G11" s="91" t="s">
        <v>251</v>
      </c>
      <c r="H11" s="52"/>
    </row>
    <row r="12" spans="1:7" s="74" customFormat="1" ht="15.75">
      <c r="A12" s="74" t="s">
        <v>265</v>
      </c>
      <c r="D12" s="245">
        <f>D11*100/31.74/Basisdaten!$C$22</f>
        <v>0.9338467560740998</v>
      </c>
      <c r="E12" s="246" t="s">
        <v>91</v>
      </c>
      <c r="F12" s="245">
        <f>F11*100/31.74/Basisdaten!$C$22</f>
        <v>1.8676935121481997</v>
      </c>
      <c r="G12" s="246" t="s">
        <v>91</v>
      </c>
    </row>
  </sheetData>
  <printOptions/>
  <pageMargins left="0.45" right="0.21" top="1" bottom="1" header="0.4921259845" footer="0.4921259845"/>
  <pageSetup horizontalDpi="600" verticalDpi="600" orientation="landscape" paperSize="9" scale="7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52" customWidth="1"/>
    <col min="2" max="2" width="19.8515625" style="52" customWidth="1"/>
    <col min="3" max="3" width="11.7109375" style="126" customWidth="1"/>
    <col min="4" max="4" width="14.28125" style="52" customWidth="1"/>
    <col min="5" max="5" width="11.421875" style="52" customWidth="1"/>
    <col min="6" max="6" width="10.8515625" style="52" customWidth="1"/>
    <col min="7" max="7" width="16.00390625" style="52" customWidth="1"/>
    <col min="8" max="16384" width="11.421875" style="52" customWidth="1"/>
  </cols>
  <sheetData>
    <row r="1" spans="1:7" ht="18">
      <c r="A1" s="143" t="s">
        <v>425</v>
      </c>
      <c r="B1" s="91"/>
      <c r="C1" s="92"/>
      <c r="D1" s="93"/>
      <c r="E1" s="91"/>
      <c r="F1" s="91"/>
      <c r="G1" s="91"/>
    </row>
    <row r="2" spans="1:7" ht="18">
      <c r="A2" s="144"/>
      <c r="B2" s="91"/>
      <c r="C2" s="92"/>
      <c r="D2" s="94"/>
      <c r="E2" s="91"/>
      <c r="F2" s="91"/>
      <c r="G2" s="91"/>
    </row>
    <row r="3" spans="1:7" ht="15.75">
      <c r="A3" s="90" t="s">
        <v>212</v>
      </c>
      <c r="B3" s="91"/>
      <c r="C3" s="92"/>
      <c r="D3" s="94"/>
      <c r="E3" s="91"/>
      <c r="F3" s="91"/>
      <c r="G3" s="91"/>
    </row>
    <row r="4" spans="1:7" ht="15.75">
      <c r="A4" s="90" t="s">
        <v>249</v>
      </c>
      <c r="B4" s="91"/>
      <c r="C4" s="92"/>
      <c r="D4" s="95"/>
      <c r="E4" s="91"/>
      <c r="F4" s="91"/>
      <c r="G4" s="91"/>
    </row>
    <row r="5" spans="1:7" ht="15">
      <c r="A5" s="96" t="s">
        <v>213</v>
      </c>
      <c r="B5" s="96"/>
      <c r="C5" s="98">
        <v>0.1</v>
      </c>
      <c r="D5" s="98"/>
      <c r="E5" s="91"/>
      <c r="F5" s="91"/>
      <c r="G5" s="91"/>
    </row>
    <row r="6" spans="1:7" ht="18">
      <c r="A6" s="99" t="s">
        <v>214</v>
      </c>
      <c r="B6" s="96"/>
      <c r="C6" s="97">
        <v>1000</v>
      </c>
      <c r="D6" s="98" t="s">
        <v>223</v>
      </c>
      <c r="E6" s="91"/>
      <c r="F6" s="91"/>
      <c r="G6" s="91"/>
    </row>
    <row r="7" spans="1:7" ht="18">
      <c r="A7" s="99" t="s">
        <v>215</v>
      </c>
      <c r="B7" s="96"/>
      <c r="C7" s="97">
        <v>50000</v>
      </c>
      <c r="D7" s="98" t="s">
        <v>224</v>
      </c>
      <c r="E7" s="91"/>
      <c r="F7" s="91"/>
      <c r="G7" s="91"/>
    </row>
    <row r="8" spans="1:7" ht="15">
      <c r="A8" s="100"/>
      <c r="B8" s="91"/>
      <c r="C8" s="92"/>
      <c r="D8" s="95"/>
      <c r="E8" s="91"/>
      <c r="F8" s="91"/>
      <c r="G8" s="91"/>
    </row>
    <row r="9" spans="1:7" ht="15">
      <c r="A9" s="100"/>
      <c r="B9" s="91"/>
      <c r="C9" s="92"/>
      <c r="D9" s="95"/>
      <c r="E9" s="91"/>
      <c r="F9" s="91"/>
      <c r="G9" s="91"/>
    </row>
    <row r="10" spans="1:7" ht="15">
      <c r="A10" s="91"/>
      <c r="B10" s="91"/>
      <c r="C10" s="92"/>
      <c r="D10" s="95"/>
      <c r="E10" s="91"/>
      <c r="F10" s="91"/>
      <c r="G10" s="91"/>
    </row>
    <row r="11" spans="1:7" ht="15.75">
      <c r="A11" s="101" t="s">
        <v>426</v>
      </c>
      <c r="B11" s="91"/>
      <c r="C11" s="92"/>
      <c r="D11" s="102"/>
      <c r="E11" s="91"/>
      <c r="F11" s="91"/>
      <c r="G11" s="91"/>
    </row>
    <row r="12" spans="1:7" ht="18">
      <c r="A12" s="96" t="s">
        <v>217</v>
      </c>
      <c r="B12" s="96"/>
      <c r="C12" s="103">
        <f>C7*1000*Basisdaten!C32/(C6*C5*1000000)</f>
        <v>16.65</v>
      </c>
      <c r="D12" s="104" t="s">
        <v>225</v>
      </c>
      <c r="E12" s="91"/>
      <c r="F12" s="91"/>
      <c r="G12" s="91"/>
    </row>
    <row r="13" spans="1:7" ht="18">
      <c r="A13" s="96" t="s">
        <v>218</v>
      </c>
      <c r="B13" s="96"/>
      <c r="C13" s="103">
        <f>500*1000000*C6*C5*3600/1000000000000000</f>
        <v>0.18</v>
      </c>
      <c r="D13" s="104" t="s">
        <v>226</v>
      </c>
      <c r="E13" s="91"/>
      <c r="F13" s="91"/>
      <c r="G13" s="91"/>
    </row>
    <row r="14" spans="1:7" s="74" customFormat="1" ht="18" customHeight="1">
      <c r="A14" s="242" t="s">
        <v>219</v>
      </c>
      <c r="B14" s="242"/>
      <c r="C14" s="248">
        <f>C13*100/Basisdaten!C5</f>
        <v>1.2330456226880393</v>
      </c>
      <c r="D14" s="249" t="s">
        <v>91</v>
      </c>
      <c r="E14" s="90"/>
      <c r="F14" s="90"/>
      <c r="G14" s="90"/>
    </row>
    <row r="15" spans="1:7" ht="15">
      <c r="A15" s="91"/>
      <c r="B15" s="91"/>
      <c r="C15" s="92"/>
      <c r="D15" s="105"/>
      <c r="E15" s="91"/>
      <c r="F15" s="91"/>
      <c r="G15" s="91"/>
    </row>
    <row r="16" spans="1:7" ht="15">
      <c r="A16" s="91"/>
      <c r="B16" s="91"/>
      <c r="C16" s="92"/>
      <c r="D16" s="106"/>
      <c r="E16" s="91"/>
      <c r="F16" s="91"/>
      <c r="G16" s="91"/>
    </row>
    <row r="17" spans="1:7" ht="15">
      <c r="A17" s="107"/>
      <c r="B17" s="91"/>
      <c r="C17" s="92"/>
      <c r="D17" s="91"/>
      <c r="E17" s="91"/>
      <c r="F17" s="91"/>
      <c r="G17" s="91"/>
    </row>
    <row r="18" spans="1:7" ht="15.75">
      <c r="A18" s="90" t="s">
        <v>220</v>
      </c>
      <c r="B18" s="91"/>
      <c r="C18" s="92"/>
      <c r="D18" s="91"/>
      <c r="E18" s="91"/>
      <c r="F18" s="91"/>
      <c r="G18" s="91"/>
    </row>
    <row r="19" spans="1:7" ht="18">
      <c r="A19" s="96" t="s">
        <v>221</v>
      </c>
      <c r="B19" s="96"/>
      <c r="C19" s="97">
        <v>2500</v>
      </c>
      <c r="D19" s="98" t="s">
        <v>223</v>
      </c>
      <c r="E19" s="91"/>
      <c r="F19" s="91"/>
      <c r="G19" s="91"/>
    </row>
    <row r="20" spans="1:7" ht="18">
      <c r="A20" s="215" t="s">
        <v>216</v>
      </c>
      <c r="B20" s="216"/>
      <c r="C20" s="97">
        <f>C19*0.1</f>
        <v>250</v>
      </c>
      <c r="D20" s="98" t="s">
        <v>223</v>
      </c>
      <c r="E20" s="91"/>
      <c r="F20" s="91"/>
      <c r="G20" s="91"/>
    </row>
    <row r="21" spans="1:7" ht="30.75" customHeight="1">
      <c r="A21" s="213" t="s">
        <v>222</v>
      </c>
      <c r="B21" s="214"/>
      <c r="C21" s="97">
        <f>Basisdaten!C22/(C20*3600*1000000/1000000000000000)</f>
        <v>506067.82000000007</v>
      </c>
      <c r="D21" s="104" t="s">
        <v>225</v>
      </c>
      <c r="E21" s="91"/>
      <c r="F21" s="91"/>
      <c r="G21" s="91"/>
    </row>
    <row r="22" spans="1:7" ht="15">
      <c r="A22" s="91"/>
      <c r="B22" s="91"/>
      <c r="C22" s="92"/>
      <c r="D22" s="108"/>
      <c r="E22" s="91"/>
      <c r="F22" s="91"/>
      <c r="G22" s="91"/>
    </row>
    <row r="23" spans="1:7" ht="15">
      <c r="A23" s="91"/>
      <c r="B23" s="91"/>
      <c r="C23" s="92"/>
      <c r="D23" s="109"/>
      <c r="E23" s="91"/>
      <c r="F23" s="91"/>
      <c r="G23" s="91"/>
    </row>
    <row r="24" spans="1:7" ht="15">
      <c r="A24" s="91"/>
      <c r="B24" s="91"/>
      <c r="C24" s="92"/>
      <c r="D24" s="110"/>
      <c r="E24" s="91"/>
      <c r="F24" s="110"/>
      <c r="G24" s="91"/>
    </row>
    <row r="25" spans="1:7" ht="15">
      <c r="A25" s="91"/>
      <c r="B25" s="91"/>
      <c r="C25" s="92"/>
      <c r="D25" s="105"/>
      <c r="E25" s="91"/>
      <c r="F25" s="91"/>
      <c r="G25" s="91"/>
    </row>
    <row r="26" spans="1:7" ht="15">
      <c r="A26" s="91"/>
      <c r="B26" s="91"/>
      <c r="C26" s="92"/>
      <c r="D26" s="105"/>
      <c r="E26" s="91"/>
      <c r="F26" s="91"/>
      <c r="G26" s="91"/>
    </row>
    <row r="27" spans="1:7" ht="15">
      <c r="A27" s="107"/>
      <c r="B27" s="107"/>
      <c r="C27" s="111"/>
      <c r="D27" s="112"/>
      <c r="E27" s="91"/>
      <c r="F27" s="91"/>
      <c r="G27" s="91"/>
    </row>
    <row r="28" spans="1:7" ht="15">
      <c r="A28" s="107"/>
      <c r="B28" s="107"/>
      <c r="C28" s="111"/>
      <c r="D28" s="112"/>
      <c r="E28" s="91"/>
      <c r="F28" s="91"/>
      <c r="G28" s="91"/>
    </row>
    <row r="29" spans="1:7" ht="15">
      <c r="A29" s="91"/>
      <c r="B29" s="91"/>
      <c r="C29" s="92"/>
      <c r="D29" s="105"/>
      <c r="E29" s="91"/>
      <c r="F29" s="91"/>
      <c r="G29" s="91"/>
    </row>
    <row r="30" spans="1:7" ht="15">
      <c r="A30" s="91"/>
      <c r="B30" s="91"/>
      <c r="C30" s="92"/>
      <c r="D30" s="110"/>
      <c r="E30" s="91"/>
      <c r="F30" s="91"/>
      <c r="G30" s="91"/>
    </row>
    <row r="31" spans="1:7" ht="15">
      <c r="A31" s="113"/>
      <c r="B31" s="91"/>
      <c r="C31" s="92"/>
      <c r="D31" s="91"/>
      <c r="E31" s="91"/>
      <c r="F31" s="91"/>
      <c r="G31" s="91"/>
    </row>
    <row r="32" spans="1:7" ht="15">
      <c r="A32" s="113"/>
      <c r="B32" s="91"/>
      <c r="C32" s="92"/>
      <c r="D32" s="91"/>
      <c r="E32" s="91"/>
      <c r="F32" s="91"/>
      <c r="G32" s="91"/>
    </row>
    <row r="33" spans="1:7" ht="15">
      <c r="A33" s="91"/>
      <c r="B33" s="91"/>
      <c r="C33" s="92"/>
      <c r="D33" s="91"/>
      <c r="E33" s="91"/>
      <c r="F33" s="91"/>
      <c r="G33" s="91"/>
    </row>
    <row r="34" spans="1:7" ht="15.75">
      <c r="A34" s="90"/>
      <c r="B34" s="91"/>
      <c r="C34" s="92"/>
      <c r="D34" s="91"/>
      <c r="E34" s="91"/>
      <c r="F34" s="91"/>
      <c r="G34" s="91"/>
    </row>
    <row r="35" spans="1:7" ht="15">
      <c r="A35" s="91"/>
      <c r="B35" s="91"/>
      <c r="C35" s="92"/>
      <c r="D35" s="108"/>
      <c r="E35" s="91"/>
      <c r="F35" s="91"/>
      <c r="G35" s="91"/>
    </row>
    <row r="36" spans="1:7" ht="15">
      <c r="A36" s="91"/>
      <c r="B36" s="91"/>
      <c r="C36" s="92"/>
      <c r="D36" s="91"/>
      <c r="E36" s="91"/>
      <c r="F36" s="91"/>
      <c r="G36" s="91"/>
    </row>
    <row r="37" spans="1:7" ht="15">
      <c r="A37" s="107"/>
      <c r="B37" s="91"/>
      <c r="C37" s="92"/>
      <c r="D37" s="91"/>
      <c r="E37" s="91"/>
      <c r="F37" s="91"/>
      <c r="G37" s="91"/>
    </row>
    <row r="38" spans="1:7" ht="15">
      <c r="A38" s="91"/>
      <c r="B38" s="114"/>
      <c r="C38" s="92"/>
      <c r="D38" s="115"/>
      <c r="E38" s="116"/>
      <c r="F38" s="91"/>
      <c r="G38" s="91"/>
    </row>
    <row r="39" spans="1:7" ht="15">
      <c r="A39" s="91"/>
      <c r="B39" s="114"/>
      <c r="C39" s="92"/>
      <c r="D39" s="115"/>
      <c r="E39" s="91"/>
      <c r="F39" s="91"/>
      <c r="G39" s="91"/>
    </row>
    <row r="40" spans="1:7" ht="15">
      <c r="A40" s="91"/>
      <c r="B40" s="114"/>
      <c r="C40" s="92"/>
      <c r="D40" s="115"/>
      <c r="E40" s="116"/>
      <c r="F40" s="91"/>
      <c r="G40" s="91"/>
    </row>
    <row r="41" spans="1:7" ht="15">
      <c r="A41" s="91"/>
      <c r="B41" s="114"/>
      <c r="C41" s="92"/>
      <c r="D41" s="91"/>
      <c r="E41" s="91"/>
      <c r="F41" s="91"/>
      <c r="G41" s="91"/>
    </row>
    <row r="42" spans="1:7" ht="15">
      <c r="A42" s="91"/>
      <c r="B42" s="91"/>
      <c r="C42" s="92"/>
      <c r="D42" s="91"/>
      <c r="E42" s="91"/>
      <c r="F42" s="91"/>
      <c r="G42" s="91"/>
    </row>
    <row r="43" spans="1:7" ht="15">
      <c r="A43" s="117"/>
      <c r="B43" s="91"/>
      <c r="C43" s="92"/>
      <c r="D43" s="91"/>
      <c r="E43" s="91"/>
      <c r="F43" s="91"/>
      <c r="G43" s="91"/>
    </row>
    <row r="44" spans="1:7" ht="15">
      <c r="A44" s="91"/>
      <c r="B44" s="91"/>
      <c r="C44" s="92"/>
      <c r="D44" s="91"/>
      <c r="E44" s="91"/>
      <c r="F44" s="91"/>
      <c r="G44" s="91"/>
    </row>
    <row r="45" spans="1:7" ht="15">
      <c r="A45" s="91"/>
      <c r="B45" s="114"/>
      <c r="C45" s="118"/>
      <c r="D45" s="91"/>
      <c r="E45" s="91"/>
      <c r="F45" s="91"/>
      <c r="G45" s="91"/>
    </row>
    <row r="46" spans="1:7" ht="15">
      <c r="A46" s="91"/>
      <c r="B46" s="114"/>
      <c r="C46" s="118"/>
      <c r="D46" s="91"/>
      <c r="E46" s="91"/>
      <c r="F46" s="91"/>
      <c r="G46" s="91"/>
    </row>
    <row r="47" spans="1:7" ht="15">
      <c r="A47" s="91"/>
      <c r="B47" s="114"/>
      <c r="C47" s="118"/>
      <c r="D47" s="91"/>
      <c r="E47" s="91"/>
      <c r="F47" s="91"/>
      <c r="G47" s="91"/>
    </row>
    <row r="48" spans="1:7" ht="15">
      <c r="A48" s="91"/>
      <c r="B48" s="114"/>
      <c r="C48" s="92"/>
      <c r="D48" s="91"/>
      <c r="E48" s="91"/>
      <c r="F48" s="91"/>
      <c r="G48" s="91"/>
    </row>
    <row r="49" spans="1:7" ht="15">
      <c r="A49" s="91"/>
      <c r="B49" s="91"/>
      <c r="C49" s="92"/>
      <c r="D49" s="108"/>
      <c r="E49" s="119"/>
      <c r="F49" s="91"/>
      <c r="G49" s="91"/>
    </row>
    <row r="50" spans="1:7" ht="15">
      <c r="A50" s="91"/>
      <c r="B50" s="114"/>
      <c r="C50" s="92"/>
      <c r="D50" s="91"/>
      <c r="E50" s="91"/>
      <c r="F50" s="91"/>
      <c r="G50" s="91"/>
    </row>
    <row r="51" spans="1:7" ht="15">
      <c r="A51" s="91"/>
      <c r="B51" s="114"/>
      <c r="C51" s="120"/>
      <c r="D51" s="121"/>
      <c r="E51" s="91"/>
      <c r="F51" s="91"/>
      <c r="G51" s="91"/>
    </row>
    <row r="52" spans="1:7" ht="15">
      <c r="A52" s="91"/>
      <c r="B52" s="91"/>
      <c r="C52" s="92"/>
      <c r="D52" s="122"/>
      <c r="E52" s="91"/>
      <c r="F52" s="91"/>
      <c r="G52" s="91"/>
    </row>
    <row r="53" spans="1:7" ht="15">
      <c r="A53" s="91"/>
      <c r="B53" s="91"/>
      <c r="C53" s="92"/>
      <c r="D53" s="122"/>
      <c r="E53" s="91"/>
      <c r="F53" s="91"/>
      <c r="G53" s="91"/>
    </row>
    <row r="54" spans="1:7" ht="15">
      <c r="A54" s="91"/>
      <c r="B54" s="91"/>
      <c r="C54" s="92"/>
      <c r="D54" s="122"/>
      <c r="E54" s="91"/>
      <c r="F54" s="91"/>
      <c r="G54" s="91"/>
    </row>
    <row r="55" spans="1:7" ht="15">
      <c r="A55" s="100"/>
      <c r="B55" s="91"/>
      <c r="C55" s="123"/>
      <c r="D55" s="110"/>
      <c r="E55" s="91"/>
      <c r="F55" s="91"/>
      <c r="G55" s="91"/>
    </row>
    <row r="56" spans="1:7" ht="15">
      <c r="A56" s="100"/>
      <c r="B56" s="91"/>
      <c r="C56" s="92"/>
      <c r="D56" s="105"/>
      <c r="E56" s="91"/>
      <c r="F56" s="91"/>
      <c r="G56" s="91"/>
    </row>
    <row r="57" spans="1:7" ht="15">
      <c r="A57" s="100"/>
      <c r="B57" s="91"/>
      <c r="C57" s="92"/>
      <c r="D57" s="124"/>
      <c r="E57" s="91"/>
      <c r="F57" s="91"/>
      <c r="G57" s="91"/>
    </row>
    <row r="58" spans="1:7" ht="15">
      <c r="A58" s="91"/>
      <c r="B58" s="91"/>
      <c r="C58" s="92"/>
      <c r="D58" s="105"/>
      <c r="E58" s="91"/>
      <c r="F58" s="91"/>
      <c r="G58" s="91"/>
    </row>
    <row r="59" spans="1:7" ht="15">
      <c r="A59" s="113"/>
      <c r="B59" s="107"/>
      <c r="C59" s="111"/>
      <c r="D59" s="125"/>
      <c r="E59" s="91"/>
      <c r="F59" s="91"/>
      <c r="G59" s="91"/>
    </row>
    <row r="60" spans="1:7" ht="5.25" customHeight="1">
      <c r="A60" s="91"/>
      <c r="B60" s="91"/>
      <c r="C60" s="92"/>
      <c r="D60" s="91"/>
      <c r="E60" s="91"/>
      <c r="F60" s="91"/>
      <c r="G60" s="91"/>
    </row>
    <row r="61" spans="1:7" ht="15">
      <c r="A61" s="113"/>
      <c r="B61" s="91"/>
      <c r="C61" s="92"/>
      <c r="D61" s="91"/>
      <c r="E61" s="91"/>
      <c r="F61" s="91"/>
      <c r="G61" s="91"/>
    </row>
    <row r="62" spans="1:7" ht="15">
      <c r="A62" s="113"/>
      <c r="B62" s="91"/>
      <c r="C62" s="92"/>
      <c r="D62" s="91"/>
      <c r="E62" s="91"/>
      <c r="F62" s="91"/>
      <c r="G62" s="91"/>
    </row>
    <row r="63" spans="1:7" ht="15">
      <c r="A63" s="113"/>
      <c r="B63" s="91"/>
      <c r="C63" s="92"/>
      <c r="D63" s="91"/>
      <c r="E63" s="91"/>
      <c r="F63" s="91"/>
      <c r="G63" s="91"/>
    </row>
  </sheetData>
  <mergeCells count="2">
    <mergeCell ref="A21:B21"/>
    <mergeCell ref="A20:B20"/>
  </mergeCells>
  <printOptions/>
  <pageMargins left="0.45" right="0.21" top="1" bottom="1" header="0.4921259845" footer="0.4921259845"/>
  <pageSetup horizontalDpi="600" verticalDpi="600" orientation="landscape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Demtröder</dc:creator>
  <cp:keywords/>
  <dc:description/>
  <cp:lastModifiedBy>DEMTROED</cp:lastModifiedBy>
  <cp:lastPrinted>2009-10-29T10:31:28Z</cp:lastPrinted>
  <dcterms:created xsi:type="dcterms:W3CDTF">2009-06-29T09:49:20Z</dcterms:created>
  <dcterms:modified xsi:type="dcterms:W3CDTF">2009-10-29T14:56:36Z</dcterms:modified>
  <cp:category/>
  <cp:version/>
  <cp:contentType/>
  <cp:contentStatus/>
</cp:coreProperties>
</file>